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50017D1F-448B-402E-A6AD-F3FBF58C2B35}"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<sst xmlns="http://schemas.openxmlformats.org/spreadsheetml/2006/main" count="6878" uniqueCount="2437">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</sst>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2375</v>
      </c>
      <c r="C1" s="169"/>
      <c r="D1" s="169"/>
      <c r="E1" s="169"/>
      <c r="F1" s="169"/>
      <c r="G1" s="169"/>
      <c r="H1" s="169"/>
      <c r="I1" s="169"/>
      <c r="J1" s="169"/>
      <c r="K1" s="169"/>
      <c r="L1" s="169"/>
      <c r="M1" s="169"/>
      <c r="N1" s="169"/>
      <c r="O1" s="169"/>
      <c r="P1" s="169"/>
      <c r="Q1" s="169"/>
      <c r="R1" s="169"/>
      <c r="S1" s="169"/>
      <c r="T1" s="169"/>
      <c r="U1" s="169"/>
      <c r="V1" s="169"/>
      <c r="W1" s="169"/>
      <c r="X1" s="169"/>
      <c r="Y1" s="169"/>
      <c r="Z1" s="921" t="s">
        <v>29</v>
      </c>
      <c r="AA1" s="921"/>
      <c r="AB1" s="921"/>
      <c r="AC1" s="921"/>
      <c r="AD1" s="922" t="s">
        <v>2266</v>
      </c>
      <c r="AE1" s="922"/>
      <c r="AF1" s="922"/>
      <c r="AG1" s="922"/>
      <c r="AH1" s="922"/>
      <c r="AI1" s="922"/>
      <c r="AJ1" s="922"/>
      <c r="AK1" s="922"/>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923" t="s">
        <v>30</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2165</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924" t="s">
        <v>23</v>
      </c>
      <c r="C6" s="925"/>
      <c r="D6" s="925"/>
      <c r="E6" s="925"/>
      <c r="F6" s="925"/>
      <c r="G6" s="926"/>
      <c r="H6" s="517" t="s">
        <v>2376</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8"/>
      <c r="AL6" s="254"/>
    </row>
    <row r="7" spans="1:39" s="255" customFormat="1" ht="25.5" customHeight="1">
      <c r="A7" s="254"/>
      <c r="B7" s="927" t="s">
        <v>22</v>
      </c>
      <c r="C7" s="928"/>
      <c r="D7" s="928"/>
      <c r="E7" s="928"/>
      <c r="F7" s="928"/>
      <c r="G7" s="929"/>
      <c r="H7" s="930" t="s">
        <v>2376</v>
      </c>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1"/>
      <c r="AL7" s="254"/>
    </row>
    <row r="8" spans="1:39" s="255" customFormat="1" ht="12.75" customHeight="1">
      <c r="A8" s="254"/>
      <c r="B8" s="946" t="s">
        <v>2166</v>
      </c>
      <c r="C8" s="947"/>
      <c r="D8" s="947"/>
      <c r="E8" s="947"/>
      <c r="F8" s="947"/>
      <c r="G8" s="948"/>
      <c r="H8" s="256" t="s">
        <v>2377</v>
      </c>
      <c r="I8" s="515">
        <v>100</v>
      </c>
      <c r="J8" s="515"/>
      <c r="K8" s="257" t="s">
        <v>2385</v>
      </c>
      <c r="L8" s="515">
        <v>1234</v>
      </c>
      <c r="M8" s="516"/>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934"/>
      <c r="C9" s="935"/>
      <c r="D9" s="935"/>
      <c r="E9" s="935"/>
      <c r="F9" s="935"/>
      <c r="G9" s="936"/>
      <c r="H9" s="949" t="s">
        <v>2378</v>
      </c>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1"/>
      <c r="AL9" s="254"/>
    </row>
    <row r="10" spans="1:39" s="255" customFormat="1" ht="16.5" customHeight="1">
      <c r="A10" s="254"/>
      <c r="B10" s="934"/>
      <c r="C10" s="935"/>
      <c r="D10" s="935"/>
      <c r="E10" s="935"/>
      <c r="F10" s="935"/>
      <c r="G10" s="936"/>
      <c r="H10" s="952" t="s">
        <v>2379</v>
      </c>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8"/>
      <c r="AL10" s="254"/>
    </row>
    <row r="11" spans="1:39" s="255" customFormat="1" ht="13.5" customHeight="1">
      <c r="A11" s="254"/>
      <c r="B11" s="953" t="s">
        <v>23</v>
      </c>
      <c r="C11" s="954"/>
      <c r="D11" s="954"/>
      <c r="E11" s="954"/>
      <c r="F11" s="954"/>
      <c r="G11" s="955"/>
      <c r="H11" s="517" t="s">
        <v>2380</v>
      </c>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8"/>
      <c r="AL11" s="254"/>
    </row>
    <row r="12" spans="1:39" s="255" customFormat="1" ht="22.5" customHeight="1">
      <c r="A12" s="254"/>
      <c r="B12" s="934" t="s">
        <v>2167</v>
      </c>
      <c r="C12" s="935"/>
      <c r="D12" s="935"/>
      <c r="E12" s="935"/>
      <c r="F12" s="935"/>
      <c r="G12" s="936"/>
      <c r="H12" s="937" t="s">
        <v>2381</v>
      </c>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8"/>
      <c r="AL12" s="254"/>
    </row>
    <row r="13" spans="1:39" s="255" customFormat="1" ht="18.75" customHeight="1">
      <c r="A13" s="254"/>
      <c r="B13" s="939" t="s">
        <v>2168</v>
      </c>
      <c r="C13" s="939"/>
      <c r="D13" s="939"/>
      <c r="E13" s="939"/>
      <c r="F13" s="939"/>
      <c r="G13" s="939"/>
      <c r="H13" s="940" t="s">
        <v>28</v>
      </c>
      <c r="I13" s="939"/>
      <c r="J13" s="939"/>
      <c r="K13" s="939"/>
      <c r="L13" s="941" t="s">
        <v>2382</v>
      </c>
      <c r="M13" s="942"/>
      <c r="N13" s="942"/>
      <c r="O13" s="942"/>
      <c r="P13" s="942"/>
      <c r="Q13" s="942"/>
      <c r="R13" s="942"/>
      <c r="S13" s="942"/>
      <c r="T13" s="942"/>
      <c r="U13" s="943"/>
      <c r="V13" s="944" t="s">
        <v>2383</v>
      </c>
      <c r="W13" s="945"/>
      <c r="X13" s="945"/>
      <c r="Y13" s="940"/>
      <c r="Z13" s="941" t="s">
        <v>2384</v>
      </c>
      <c r="AA13" s="942"/>
      <c r="AB13" s="942"/>
      <c r="AC13" s="942"/>
      <c r="AD13" s="942"/>
      <c r="AE13" s="942"/>
      <c r="AF13" s="942"/>
      <c r="AG13" s="942"/>
      <c r="AH13" s="942"/>
      <c r="AI13" s="942"/>
      <c r="AJ13" s="942"/>
      <c r="AK13" s="943"/>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33</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34</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35" t="s">
        <v>35</v>
      </c>
      <c r="C17" s="536"/>
      <c r="D17" s="536"/>
      <c r="E17" s="536"/>
      <c r="F17" s="536"/>
      <c r="G17" s="536"/>
      <c r="H17" s="536"/>
      <c r="I17" s="536"/>
      <c r="J17" s="536"/>
      <c r="K17" s="536"/>
      <c r="L17" s="536"/>
      <c r="M17" s="536"/>
      <c r="N17" s="536"/>
      <c r="O17" s="536"/>
      <c r="P17" s="536"/>
      <c r="Q17" s="536"/>
      <c r="R17" s="536"/>
      <c r="S17" s="536"/>
      <c r="T17" s="536"/>
      <c r="U17" s="536"/>
      <c r="V17" s="536"/>
      <c r="W17" s="537"/>
      <c r="X17" s="169"/>
      <c r="Y17" s="169"/>
      <c r="Z17" s="169"/>
      <c r="AA17" s="169"/>
      <c r="AB17" s="169"/>
      <c r="AC17" s="169"/>
      <c r="AD17" s="169"/>
      <c r="AE17" s="169"/>
      <c r="AF17" s="169"/>
      <c r="AG17" s="169"/>
      <c r="AH17" s="169"/>
      <c r="AI17" s="169"/>
      <c r="AJ17" s="169"/>
      <c r="AK17" s="169"/>
      <c r="AL17" s="246"/>
    </row>
    <row r="18" spans="1:55" ht="26.25" customHeight="1">
      <c r="A18" s="246"/>
      <c r="B18" s="265" t="s">
        <v>37</v>
      </c>
      <c r="C18" s="523" t="s">
        <v>38</v>
      </c>
      <c r="D18" s="523"/>
      <c r="E18" s="523"/>
      <c r="F18" s="523"/>
      <c r="G18" s="523"/>
      <c r="H18" s="523"/>
      <c r="I18" s="523"/>
      <c r="J18" s="523"/>
      <c r="K18" s="523"/>
      <c r="L18" s="523"/>
      <c r="M18" s="523"/>
      <c r="N18" s="523"/>
      <c r="O18" s="523"/>
      <c r="P18" s="538"/>
      <c r="Q18" s="524">
        <f>SUM('別紙様式6-2 事業所個票１:事業所個票10'!V51,'別紙様式6-2 事業所個票１:事業所個票10'!AC51)</f>
        <v>15773570</v>
      </c>
      <c r="R18" s="525"/>
      <c r="S18" s="525"/>
      <c r="T18" s="525"/>
      <c r="U18" s="525"/>
      <c r="V18" s="526"/>
      <c r="W18" s="266" t="s">
        <v>2421</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39</v>
      </c>
      <c r="D19" s="522" t="s">
        <v>40</v>
      </c>
      <c r="E19" s="522"/>
      <c r="F19" s="522"/>
      <c r="G19" s="522"/>
      <c r="H19" s="522"/>
      <c r="I19" s="522"/>
      <c r="J19" s="522"/>
      <c r="K19" s="522"/>
      <c r="L19" s="522"/>
      <c r="M19" s="522"/>
      <c r="N19" s="522"/>
      <c r="O19" s="522"/>
      <c r="P19" s="539"/>
      <c r="Q19" s="524">
        <f>SUM('別紙様式6-2 事業所個票１:事業所個票10'!BI51)</f>
        <v>7205044</v>
      </c>
      <c r="R19" s="525"/>
      <c r="S19" s="525"/>
      <c r="T19" s="525"/>
      <c r="U19" s="525"/>
      <c r="V19" s="526"/>
      <c r="W19" s="266" t="s">
        <v>36</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41</v>
      </c>
      <c r="E20" s="522" t="s">
        <v>42</v>
      </c>
      <c r="F20" s="522"/>
      <c r="G20" s="522"/>
      <c r="H20" s="522"/>
      <c r="I20" s="522"/>
      <c r="J20" s="522"/>
      <c r="K20" s="522"/>
      <c r="L20" s="522"/>
      <c r="M20" s="522"/>
      <c r="N20" s="522"/>
      <c r="O20" s="522"/>
      <c r="P20" s="540"/>
      <c r="Q20" s="532">
        <v>2200000</v>
      </c>
      <c r="R20" s="533"/>
      <c r="S20" s="533"/>
      <c r="T20" s="533"/>
      <c r="U20" s="533"/>
      <c r="V20" s="534"/>
      <c r="W20" s="272" t="s">
        <v>36</v>
      </c>
      <c r="X20" s="169" t="s">
        <v>43</v>
      </c>
      <c r="Y20" s="273" t="str">
        <f>IF(Q20&gt;Q19,"×","")</f>
        <v/>
      </c>
      <c r="Z20" s="246"/>
      <c r="AA20" s="246"/>
      <c r="AB20" s="246"/>
      <c r="AC20" s="246"/>
      <c r="AD20" s="246"/>
      <c r="AE20" s="246"/>
      <c r="AF20" s="246"/>
      <c r="AG20" s="246"/>
      <c r="AH20" s="246"/>
      <c r="AI20" s="246"/>
      <c r="AJ20" s="246"/>
      <c r="AK20" s="246"/>
      <c r="AL20" s="246"/>
      <c r="AM20" s="519" t="s">
        <v>2226</v>
      </c>
      <c r="AN20" s="520"/>
      <c r="AO20" s="520"/>
      <c r="AP20" s="520"/>
      <c r="AQ20" s="520"/>
      <c r="AR20" s="520"/>
      <c r="AS20" s="520"/>
      <c r="AT20" s="520"/>
      <c r="AU20" s="520"/>
      <c r="AV20" s="520"/>
      <c r="AW20" s="520"/>
      <c r="AX20" s="520"/>
      <c r="AY20" s="520"/>
      <c r="AZ20" s="520"/>
      <c r="BA20" s="520"/>
      <c r="BB20" s="520"/>
      <c r="BC20" s="521"/>
    </row>
    <row r="21" spans="1:55" ht="28.5" customHeight="1" thickBot="1">
      <c r="A21" s="246"/>
      <c r="B21" s="274" t="s">
        <v>44</v>
      </c>
      <c r="C21" s="522" t="s">
        <v>2227</v>
      </c>
      <c r="D21" s="523"/>
      <c r="E21" s="523"/>
      <c r="F21" s="523"/>
      <c r="G21" s="523"/>
      <c r="H21" s="523"/>
      <c r="I21" s="523"/>
      <c r="J21" s="523"/>
      <c r="K21" s="523"/>
      <c r="L21" s="523"/>
      <c r="M21" s="523"/>
      <c r="N21" s="523"/>
      <c r="O21" s="523"/>
      <c r="P21" s="523"/>
      <c r="Q21" s="524">
        <f>Q18-Q20</f>
        <v>13573570</v>
      </c>
      <c r="R21" s="525"/>
      <c r="S21" s="525"/>
      <c r="T21" s="525"/>
      <c r="U21" s="525"/>
      <c r="V21" s="526"/>
      <c r="W21" s="275" t="s">
        <v>36</v>
      </c>
      <c r="X21" s="169" t="s">
        <v>43</v>
      </c>
      <c r="Y21" s="527" t="str">
        <f>IFERROR(IF(Q22&gt;=Q21,"○","×"),"")</f>
        <v>×</v>
      </c>
      <c r="Z21" s="246"/>
      <c r="AA21" s="246"/>
      <c r="AB21" s="246"/>
      <c r="AC21" s="246"/>
      <c r="AD21" s="246"/>
      <c r="AE21" s="246"/>
      <c r="AF21" s="246"/>
      <c r="AG21" s="246"/>
      <c r="AH21" s="246"/>
      <c r="AI21" s="246"/>
      <c r="AJ21" s="246"/>
      <c r="AK21" s="246"/>
      <c r="AL21" s="246"/>
      <c r="AM21" s="529" t="s">
        <v>2329</v>
      </c>
      <c r="AN21" s="530"/>
      <c r="AO21" s="530"/>
      <c r="AP21" s="530"/>
      <c r="AQ21" s="530"/>
      <c r="AR21" s="530"/>
      <c r="AS21" s="530"/>
      <c r="AT21" s="530"/>
      <c r="AU21" s="530"/>
      <c r="AV21" s="530"/>
      <c r="AW21" s="530"/>
      <c r="AX21" s="530"/>
      <c r="AY21" s="530"/>
      <c r="AZ21" s="530"/>
      <c r="BA21" s="530"/>
      <c r="BB21" s="530"/>
      <c r="BC21" s="531"/>
    </row>
    <row r="22" spans="1:55" ht="30" customHeight="1" thickBot="1">
      <c r="A22" s="246"/>
      <c r="B22" s="274" t="s">
        <v>45</v>
      </c>
      <c r="C22" s="522" t="s">
        <v>46</v>
      </c>
      <c r="D22" s="522"/>
      <c r="E22" s="522"/>
      <c r="F22" s="522"/>
      <c r="G22" s="522"/>
      <c r="H22" s="522"/>
      <c r="I22" s="522"/>
      <c r="J22" s="522"/>
      <c r="K22" s="522"/>
      <c r="L22" s="522"/>
      <c r="M22" s="522"/>
      <c r="N22" s="522"/>
      <c r="O22" s="522"/>
      <c r="P22" s="522"/>
      <c r="Q22" s="532">
        <v>11000000</v>
      </c>
      <c r="R22" s="533"/>
      <c r="S22" s="533"/>
      <c r="T22" s="533"/>
      <c r="U22" s="533"/>
      <c r="V22" s="534"/>
      <c r="W22" s="276" t="s">
        <v>36</v>
      </c>
      <c r="X22" s="169" t="s">
        <v>43</v>
      </c>
      <c r="Y22" s="528"/>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35" t="s">
        <v>47</v>
      </c>
      <c r="C24" s="536"/>
      <c r="D24" s="536"/>
      <c r="E24" s="536"/>
      <c r="F24" s="536"/>
      <c r="G24" s="536"/>
      <c r="H24" s="536"/>
      <c r="I24" s="536"/>
      <c r="J24" s="536"/>
      <c r="K24" s="536"/>
      <c r="L24" s="536"/>
      <c r="M24" s="536"/>
      <c r="N24" s="536"/>
      <c r="O24" s="536"/>
      <c r="P24" s="536"/>
      <c r="Q24" s="956"/>
      <c r="R24" s="956"/>
      <c r="S24" s="956"/>
      <c r="T24" s="956"/>
      <c r="U24" s="956"/>
      <c r="V24" s="956"/>
      <c r="W24" s="537"/>
      <c r="X24" s="169"/>
      <c r="Y24" s="169"/>
      <c r="Z24" s="169"/>
      <c r="AA24" s="169"/>
      <c r="AB24" s="246"/>
      <c r="AC24" s="246"/>
      <c r="AD24" s="246"/>
      <c r="AE24" s="246"/>
      <c r="AF24" s="246"/>
      <c r="AG24" s="246"/>
      <c r="AH24" s="246"/>
      <c r="AI24" s="246"/>
      <c r="AJ24" s="246"/>
      <c r="AK24" s="246"/>
      <c r="AL24" s="246"/>
    </row>
    <row r="25" spans="1:55" ht="27" customHeight="1" thickBot="1">
      <c r="A25" s="246"/>
      <c r="B25" s="274" t="s">
        <v>48</v>
      </c>
      <c r="C25" s="522" t="s">
        <v>2228</v>
      </c>
      <c r="D25" s="522"/>
      <c r="E25" s="522"/>
      <c r="F25" s="522"/>
      <c r="G25" s="522"/>
      <c r="H25" s="522"/>
      <c r="I25" s="522"/>
      <c r="J25" s="522"/>
      <c r="K25" s="522"/>
      <c r="L25" s="522"/>
      <c r="M25" s="522"/>
      <c r="N25" s="522"/>
      <c r="O25" s="522"/>
      <c r="P25" s="539"/>
      <c r="Q25" s="918">
        <f>Q19-Q20</f>
        <v>5005044</v>
      </c>
      <c r="R25" s="919"/>
      <c r="S25" s="919"/>
      <c r="T25" s="919"/>
      <c r="U25" s="919"/>
      <c r="V25" s="919"/>
      <c r="W25" s="266" t="s">
        <v>36</v>
      </c>
      <c r="X25" s="169" t="s">
        <v>43</v>
      </c>
      <c r="Y25" s="683" t="str">
        <f>IFERROR(IF(Q25&lt;=0,"",IF(Q26&gt;=Q25,"○","△")),"")</f>
        <v>△</v>
      </c>
      <c r="Z25" s="169" t="s">
        <v>43</v>
      </c>
      <c r="AA25" s="527" t="str">
        <f>IFERROR(IF(Y25="△",IF(Q28&gt;=Q25,"○","×"),""),"")</f>
        <v>×</v>
      </c>
      <c r="AB25" s="246"/>
      <c r="AC25" s="246"/>
      <c r="AD25" s="246"/>
      <c r="AE25" s="246"/>
      <c r="AF25" s="246"/>
      <c r="AG25" s="246"/>
      <c r="AH25" s="246"/>
      <c r="AI25" s="246"/>
      <c r="AJ25" s="246"/>
      <c r="AK25" s="246"/>
      <c r="AL25" s="246"/>
    </row>
    <row r="26" spans="1:55" ht="37.5" customHeight="1" thickBot="1">
      <c r="A26" s="246"/>
      <c r="B26" s="274" t="s">
        <v>49</v>
      </c>
      <c r="C26" s="522" t="s">
        <v>2330</v>
      </c>
      <c r="D26" s="522"/>
      <c r="E26" s="522"/>
      <c r="F26" s="522"/>
      <c r="G26" s="522"/>
      <c r="H26" s="522"/>
      <c r="I26" s="522"/>
      <c r="J26" s="522"/>
      <c r="K26" s="522"/>
      <c r="L26" s="522"/>
      <c r="M26" s="522"/>
      <c r="N26" s="522"/>
      <c r="O26" s="522"/>
      <c r="P26" s="539"/>
      <c r="Q26" s="532">
        <v>2300000</v>
      </c>
      <c r="R26" s="533"/>
      <c r="S26" s="533"/>
      <c r="T26" s="533"/>
      <c r="U26" s="533"/>
      <c r="V26" s="534"/>
      <c r="W26" s="266" t="s">
        <v>36</v>
      </c>
      <c r="X26" s="169" t="s">
        <v>43</v>
      </c>
      <c r="Y26" s="684"/>
      <c r="Z26" s="169"/>
      <c r="AA26" s="920"/>
      <c r="AB26" s="246"/>
      <c r="AC26" s="246"/>
      <c r="AD26" s="246"/>
      <c r="AE26" s="246"/>
      <c r="AF26" s="246"/>
      <c r="AG26" s="246"/>
      <c r="AH26" s="246"/>
      <c r="AI26" s="246"/>
      <c r="AJ26" s="246"/>
      <c r="AK26" s="246"/>
      <c r="AL26" s="246"/>
    </row>
    <row r="27" spans="1:55" ht="26.25" customHeight="1" thickBot="1">
      <c r="A27" s="246"/>
      <c r="B27" s="274" t="s">
        <v>50</v>
      </c>
      <c r="C27" s="522" t="s">
        <v>2229</v>
      </c>
      <c r="D27" s="522"/>
      <c r="E27" s="522"/>
      <c r="F27" s="522"/>
      <c r="G27" s="522"/>
      <c r="H27" s="522"/>
      <c r="I27" s="522"/>
      <c r="J27" s="522"/>
      <c r="K27" s="522"/>
      <c r="L27" s="522"/>
      <c r="M27" s="522"/>
      <c r="N27" s="522"/>
      <c r="O27" s="522"/>
      <c r="P27" s="539"/>
      <c r="Q27" s="532">
        <v>1600000</v>
      </c>
      <c r="R27" s="533"/>
      <c r="S27" s="533"/>
      <c r="T27" s="533"/>
      <c r="U27" s="533"/>
      <c r="V27" s="534"/>
      <c r="W27" s="266" t="s">
        <v>36</v>
      </c>
      <c r="X27" s="169"/>
      <c r="Y27" s="169"/>
      <c r="Z27" s="169"/>
      <c r="AA27" s="920"/>
      <c r="AB27" s="246"/>
      <c r="AC27" s="246"/>
      <c r="AD27" s="246"/>
      <c r="AE27" s="246"/>
      <c r="AF27" s="246"/>
      <c r="AG27" s="246"/>
      <c r="AH27" s="246"/>
      <c r="AI27" s="246"/>
      <c r="AJ27" s="246"/>
      <c r="AK27" s="246"/>
      <c r="AL27" s="246"/>
      <c r="AM27" s="609" t="s">
        <v>2331</v>
      </c>
      <c r="AN27" s="610"/>
      <c r="AO27" s="610"/>
      <c r="AP27" s="610"/>
      <c r="AQ27" s="610"/>
      <c r="AR27" s="610"/>
      <c r="AS27" s="610"/>
      <c r="AT27" s="610"/>
      <c r="AU27" s="610"/>
      <c r="AV27" s="610"/>
      <c r="AW27" s="610"/>
      <c r="AX27" s="610"/>
      <c r="AY27" s="610"/>
      <c r="AZ27" s="610"/>
      <c r="BA27" s="610"/>
      <c r="BB27" s="610"/>
      <c r="BC27" s="611"/>
    </row>
    <row r="28" spans="1:55" ht="16.5" customHeight="1" thickBot="1">
      <c r="A28" s="246"/>
      <c r="B28" s="274" t="s">
        <v>51</v>
      </c>
      <c r="C28" s="522" t="s">
        <v>2230</v>
      </c>
      <c r="D28" s="522"/>
      <c r="E28" s="522"/>
      <c r="F28" s="522"/>
      <c r="G28" s="522"/>
      <c r="H28" s="522"/>
      <c r="I28" s="522"/>
      <c r="J28" s="522"/>
      <c r="K28" s="522"/>
      <c r="L28" s="522"/>
      <c r="M28" s="522"/>
      <c r="N28" s="522"/>
      <c r="O28" s="522"/>
      <c r="P28" s="539"/>
      <c r="Q28" s="914">
        <f>Q26+Q27</f>
        <v>3900000</v>
      </c>
      <c r="R28" s="915"/>
      <c r="S28" s="915"/>
      <c r="T28" s="915"/>
      <c r="U28" s="915"/>
      <c r="V28" s="916"/>
      <c r="W28" s="266" t="s">
        <v>36</v>
      </c>
      <c r="X28" s="246"/>
      <c r="Y28" s="246"/>
      <c r="Z28" s="246" t="s">
        <v>43</v>
      </c>
      <c r="AA28" s="528"/>
      <c r="AB28" s="246"/>
      <c r="AC28" s="246"/>
      <c r="AD28" s="246"/>
      <c r="AE28" s="246"/>
      <c r="AF28" s="246"/>
      <c r="AG28" s="246"/>
      <c r="AH28" s="246"/>
      <c r="AI28" s="246"/>
      <c r="AJ28" s="246"/>
      <c r="AK28" s="246"/>
      <c r="AL28" s="246"/>
      <c r="AM28" s="612"/>
      <c r="AN28" s="613"/>
      <c r="AO28" s="613"/>
      <c r="AP28" s="613"/>
      <c r="AQ28" s="613"/>
      <c r="AR28" s="613"/>
      <c r="AS28" s="613"/>
      <c r="AT28" s="613"/>
      <c r="AU28" s="613"/>
      <c r="AV28" s="613"/>
      <c r="AW28" s="613"/>
      <c r="AX28" s="613"/>
      <c r="AY28" s="613"/>
      <c r="AZ28" s="613"/>
      <c r="BA28" s="613"/>
      <c r="BB28" s="613"/>
      <c r="BC28" s="614"/>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31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32</v>
      </c>
      <c r="C31" s="917" t="s">
        <v>2395</v>
      </c>
      <c r="D31" s="917"/>
      <c r="E31" s="917"/>
      <c r="F31" s="917"/>
      <c r="G31" s="917"/>
      <c r="H31" s="917"/>
      <c r="I31" s="917"/>
      <c r="J31" s="917"/>
      <c r="K31" s="917"/>
      <c r="L31" s="917"/>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246"/>
    </row>
    <row r="32" spans="1:55" ht="48" customHeight="1">
      <c r="A32" s="246"/>
      <c r="B32" s="281" t="s">
        <v>32</v>
      </c>
      <c r="C32" s="917" t="s">
        <v>2231</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246"/>
    </row>
    <row r="33" spans="1:55" ht="24.75" customHeight="1">
      <c r="A33" s="246"/>
      <c r="B33" s="281" t="s">
        <v>32</v>
      </c>
      <c r="C33" s="917" t="s">
        <v>2232</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246"/>
    </row>
    <row r="34" spans="1:55" ht="35.25" customHeight="1">
      <c r="A34" s="246"/>
      <c r="B34" s="281" t="s">
        <v>32</v>
      </c>
      <c r="C34" s="917" t="s">
        <v>2332</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2150</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t="b">
        <v>1</v>
      </c>
      <c r="BA36" s="283"/>
    </row>
    <row r="37" spans="1:55" ht="18.75" customHeight="1" thickBot="1">
      <c r="A37" s="246"/>
      <c r="B37" s="911" t="b">
        <v>1</v>
      </c>
      <c r="C37" s="912"/>
      <c r="D37" s="811" t="s">
        <v>52</v>
      </c>
      <c r="E37" s="913"/>
      <c r="F37" s="913"/>
      <c r="G37" s="913"/>
      <c r="H37" s="913"/>
      <c r="I37" s="913"/>
      <c r="J37" s="913"/>
      <c r="K37" s="913"/>
      <c r="L37" s="913"/>
      <c r="M37" s="913"/>
      <c r="N37" s="913"/>
      <c r="O37" s="913"/>
      <c r="P37" s="913"/>
      <c r="Q37" s="913"/>
      <c r="R37" s="913"/>
      <c r="S37" s="913"/>
      <c r="T37" s="913"/>
      <c r="U37" s="913"/>
      <c r="V37" s="913"/>
      <c r="W37" s="913"/>
      <c r="X37" s="913"/>
      <c r="Y37" s="913"/>
      <c r="Z37" s="913"/>
      <c r="AA37" s="169" t="s">
        <v>43</v>
      </c>
      <c r="AB37" s="273" t="str">
        <f>IFERROR(IF(AM36=TRUE,"○","×"),"")</f>
        <v>○</v>
      </c>
      <c r="AC37" s="169"/>
      <c r="AD37" s="169"/>
      <c r="AE37" s="169"/>
      <c r="AF37" s="169"/>
      <c r="AG37" s="169"/>
      <c r="AH37" s="169"/>
      <c r="AI37" s="169"/>
      <c r="AJ37" s="169"/>
      <c r="AK37" s="169"/>
      <c r="AL37" s="246"/>
      <c r="AM37" s="529" t="s">
        <v>53</v>
      </c>
      <c r="AN37" s="530"/>
      <c r="AO37" s="530"/>
      <c r="AP37" s="530"/>
      <c r="AQ37" s="530"/>
      <c r="AR37" s="530"/>
      <c r="AS37" s="530"/>
      <c r="AT37" s="530"/>
      <c r="AU37" s="530"/>
      <c r="AV37" s="530"/>
      <c r="AW37" s="530"/>
      <c r="AX37" s="530"/>
      <c r="AY37" s="530"/>
      <c r="AZ37" s="530"/>
      <c r="BA37" s="530"/>
      <c r="BB37" s="530"/>
      <c r="BC37" s="531"/>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32</v>
      </c>
      <c r="C40" s="812" t="s">
        <v>2233</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246"/>
    </row>
    <row r="41" spans="1:55" ht="24.75" customHeight="1" thickBot="1">
      <c r="A41" s="246"/>
      <c r="B41" s="281" t="s">
        <v>32</v>
      </c>
      <c r="C41" s="812" t="s">
        <v>54</v>
      </c>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246"/>
    </row>
    <row r="42" spans="1:55" ht="22.5" customHeight="1" thickBot="1">
      <c r="A42" s="246"/>
      <c r="B42" s="285" t="s">
        <v>55</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23" t="s">
        <v>2333</v>
      </c>
      <c r="AN42" s="530"/>
      <c r="AO42" s="530"/>
      <c r="AP42" s="530"/>
      <c r="AQ42" s="530"/>
      <c r="AR42" s="530"/>
      <c r="AS42" s="530"/>
      <c r="AT42" s="530"/>
      <c r="AU42" s="530"/>
      <c r="AV42" s="530"/>
      <c r="AW42" s="530"/>
      <c r="AX42" s="530"/>
      <c r="AY42" s="530"/>
      <c r="AZ42" s="530"/>
      <c r="BA42" s="530"/>
      <c r="BB42" s="530"/>
      <c r="BC42" s="531"/>
    </row>
    <row r="43" spans="1:55" ht="21.75" customHeight="1" thickBot="1">
      <c r="A43" s="246"/>
      <c r="B43" s="901" t="s">
        <v>56</v>
      </c>
      <c r="C43" s="902"/>
      <c r="D43" s="902"/>
      <c r="E43" s="902"/>
      <c r="F43" s="902"/>
      <c r="G43" s="902"/>
      <c r="H43" s="902"/>
      <c r="I43" s="902"/>
      <c r="J43" s="902"/>
      <c r="K43" s="902"/>
      <c r="L43" s="902"/>
      <c r="M43" s="902"/>
      <c r="N43" s="903"/>
      <c r="O43" s="904" t="s">
        <v>57</v>
      </c>
      <c r="P43" s="905"/>
      <c r="Q43" s="906">
        <v>6</v>
      </c>
      <c r="R43" s="906"/>
      <c r="S43" s="286" t="s">
        <v>58</v>
      </c>
      <c r="T43" s="907">
        <v>6</v>
      </c>
      <c r="U43" s="908"/>
      <c r="V43" s="287" t="s">
        <v>59</v>
      </c>
      <c r="W43" s="909" t="s">
        <v>60</v>
      </c>
      <c r="X43" s="909"/>
      <c r="Y43" s="909" t="s">
        <v>57</v>
      </c>
      <c r="Z43" s="910"/>
      <c r="AA43" s="907">
        <v>7</v>
      </c>
      <c r="AB43" s="908"/>
      <c r="AC43" s="288" t="s">
        <v>58</v>
      </c>
      <c r="AD43" s="907">
        <v>5</v>
      </c>
      <c r="AE43" s="908"/>
      <c r="AF43" s="287" t="s">
        <v>59</v>
      </c>
      <c r="AG43" s="287" t="s">
        <v>61</v>
      </c>
      <c r="AH43" s="287">
        <f>IF(Q43&gt;=1,(AA43*12+AD43)-(Q43*12+T43)+1,"")</f>
        <v>12</v>
      </c>
      <c r="AI43" s="909" t="s">
        <v>62</v>
      </c>
      <c r="AJ43" s="909"/>
      <c r="AK43" s="289" t="s">
        <v>63</v>
      </c>
      <c r="AL43" s="246"/>
      <c r="AM43" s="278"/>
      <c r="BB43" s="283"/>
    </row>
    <row r="44" spans="1:55" s="255" customFormat="1" ht="25.5" customHeight="1" thickBot="1">
      <c r="A44" s="254"/>
      <c r="B44" s="891" t="s">
        <v>64</v>
      </c>
      <c r="C44" s="892"/>
      <c r="D44" s="892"/>
      <c r="E44" s="892"/>
      <c r="F44" s="290" t="b">
        <v>1</v>
      </c>
      <c r="G44" s="893" t="s">
        <v>65</v>
      </c>
      <c r="H44" s="894"/>
      <c r="I44" s="895"/>
      <c r="J44" s="291" t="b">
        <v>0</v>
      </c>
      <c r="K44" s="893" t="s">
        <v>66</v>
      </c>
      <c r="L44" s="894"/>
      <c r="M44" s="894"/>
      <c r="N44" s="894"/>
      <c r="O44" s="674"/>
      <c r="P44" s="292" t="b">
        <v>0</v>
      </c>
      <c r="Q44" s="896" t="s">
        <v>67</v>
      </c>
      <c r="R44" s="897"/>
      <c r="S44" s="897"/>
      <c r="T44" s="897"/>
      <c r="U44" s="897"/>
      <c r="V44" s="898"/>
      <c r="W44" s="292"/>
      <c r="X44" s="896" t="s">
        <v>68</v>
      </c>
      <c r="Y44" s="897"/>
      <c r="Z44" s="898"/>
      <c r="AA44" s="292" t="b">
        <v>1</v>
      </c>
      <c r="AB44" s="899" t="s">
        <v>69</v>
      </c>
      <c r="AC44" s="900"/>
      <c r="AD44" s="293" t="s">
        <v>8</v>
      </c>
      <c r="AE44" s="874"/>
      <c r="AF44" s="874"/>
      <c r="AG44" s="874"/>
      <c r="AH44" s="874"/>
      <c r="AI44" s="874"/>
      <c r="AJ44" s="731" t="s">
        <v>70</v>
      </c>
      <c r="AK44" s="875"/>
      <c r="AL44" s="254"/>
      <c r="AM44" s="623" t="s">
        <v>2151</v>
      </c>
      <c r="AN44" s="530"/>
      <c r="AO44" s="530"/>
      <c r="AP44" s="530"/>
      <c r="AQ44" s="530"/>
      <c r="AR44" s="530"/>
      <c r="AS44" s="530"/>
      <c r="AT44" s="530"/>
      <c r="AU44" s="530"/>
      <c r="AV44" s="530"/>
      <c r="AW44" s="530"/>
      <c r="AX44" s="530"/>
      <c r="AY44" s="530"/>
      <c r="AZ44" s="530"/>
      <c r="BA44" s="530"/>
      <c r="BB44" s="530"/>
      <c r="BC44" s="531"/>
    </row>
    <row r="45" spans="1:55" s="255" customFormat="1" ht="18.75" customHeight="1" thickBot="1">
      <c r="A45" s="254"/>
      <c r="B45" s="869" t="s">
        <v>71</v>
      </c>
      <c r="C45" s="870"/>
      <c r="D45" s="870"/>
      <c r="E45" s="870"/>
      <c r="F45" s="294" t="s">
        <v>72</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871"/>
      <c r="C46" s="736"/>
      <c r="D46" s="736"/>
      <c r="E46" s="736"/>
      <c r="F46" s="299" t="b">
        <v>1</v>
      </c>
      <c r="G46" s="300" t="s">
        <v>2234</v>
      </c>
      <c r="H46" s="264"/>
      <c r="I46" s="264"/>
      <c r="J46" s="264"/>
      <c r="K46" s="264"/>
      <c r="L46" s="264"/>
      <c r="M46" s="301" t="b">
        <v>1</v>
      </c>
      <c r="N46" s="300" t="s">
        <v>2235</v>
      </c>
      <c r="O46" s="264"/>
      <c r="P46" s="264"/>
      <c r="Q46" s="297"/>
      <c r="R46" s="297"/>
      <c r="S46" s="300"/>
      <c r="T46" s="301" t="b">
        <v>1</v>
      </c>
      <c r="U46" s="300" t="s">
        <v>69</v>
      </c>
      <c r="V46" s="297"/>
      <c r="W46" s="264"/>
      <c r="X46" s="300" t="s">
        <v>73</v>
      </c>
      <c r="Y46" s="876"/>
      <c r="Z46" s="876"/>
      <c r="AA46" s="876"/>
      <c r="AB46" s="876"/>
      <c r="AC46" s="876"/>
      <c r="AD46" s="876"/>
      <c r="AE46" s="876"/>
      <c r="AF46" s="876"/>
      <c r="AG46" s="876"/>
      <c r="AH46" s="876"/>
      <c r="AI46" s="876"/>
      <c r="AJ46" s="876"/>
      <c r="AK46" s="302" t="s">
        <v>74</v>
      </c>
      <c r="AL46" s="254"/>
      <c r="AM46" s="609" t="s">
        <v>2151</v>
      </c>
      <c r="AN46" s="877"/>
      <c r="AO46" s="877"/>
      <c r="AP46" s="877"/>
      <c r="AQ46" s="877"/>
      <c r="AR46" s="877"/>
      <c r="AS46" s="877"/>
      <c r="AT46" s="877"/>
      <c r="AU46" s="877"/>
      <c r="AV46" s="877"/>
      <c r="AW46" s="877"/>
      <c r="AX46" s="877"/>
      <c r="AY46" s="877"/>
      <c r="AZ46" s="877"/>
      <c r="BA46" s="877"/>
      <c r="BB46" s="877"/>
      <c r="BC46" s="878"/>
    </row>
    <row r="47" spans="1:55" s="255" customFormat="1" ht="19.5" customHeight="1" thickBot="1">
      <c r="A47" s="254"/>
      <c r="B47" s="871"/>
      <c r="C47" s="736"/>
      <c r="D47" s="736"/>
      <c r="E47" s="736"/>
      <c r="F47" s="303" t="s">
        <v>75</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879"/>
      <c r="AN47" s="880"/>
      <c r="AO47" s="880"/>
      <c r="AP47" s="880"/>
      <c r="AQ47" s="880"/>
      <c r="AR47" s="880"/>
      <c r="AS47" s="880"/>
      <c r="AT47" s="880"/>
      <c r="AU47" s="880"/>
      <c r="AV47" s="880"/>
      <c r="AW47" s="880"/>
      <c r="AX47" s="880"/>
      <c r="AY47" s="880"/>
      <c r="AZ47" s="880"/>
      <c r="BA47" s="880"/>
      <c r="BB47" s="880"/>
      <c r="BC47" s="881"/>
    </row>
    <row r="48" spans="1:55" s="255" customFormat="1" ht="20.25" customHeight="1">
      <c r="A48" s="254"/>
      <c r="B48" s="871"/>
      <c r="C48" s="736"/>
      <c r="D48" s="736"/>
      <c r="E48" s="736"/>
      <c r="F48" s="882" t="s">
        <v>76</v>
      </c>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83"/>
      <c r="AK48" s="884"/>
      <c r="AL48" s="254"/>
    </row>
    <row r="49" spans="1:59" s="255" customFormat="1" ht="18" customHeight="1">
      <c r="A49" s="254"/>
      <c r="B49" s="871"/>
      <c r="C49" s="736"/>
      <c r="D49" s="736"/>
      <c r="E49" s="736"/>
      <c r="F49" s="885"/>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7"/>
      <c r="AL49" s="254"/>
      <c r="AM49" s="305" t="s">
        <v>2236</v>
      </c>
      <c r="AR49" s="159" t="b">
        <v>0</v>
      </c>
      <c r="AS49" s="710" t="s">
        <v>2234</v>
      </c>
      <c r="AT49" s="710"/>
    </row>
    <row r="50" spans="1:59" s="255" customFormat="1" ht="18" customHeight="1">
      <c r="A50" s="254"/>
      <c r="B50" s="871"/>
      <c r="C50" s="736"/>
      <c r="D50" s="736"/>
      <c r="E50" s="736"/>
      <c r="F50" s="885"/>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7"/>
      <c r="AL50" s="254"/>
      <c r="AM50" s="159" t="b">
        <v>0</v>
      </c>
      <c r="AN50" s="710" t="s">
        <v>2237</v>
      </c>
      <c r="AO50" s="710"/>
      <c r="AP50" s="710"/>
      <c r="AR50" s="159" t="b">
        <v>1</v>
      </c>
      <c r="AS50" s="710" t="s">
        <v>2235</v>
      </c>
      <c r="AT50" s="710"/>
    </row>
    <row r="51" spans="1:59" s="255" customFormat="1" ht="18" customHeight="1">
      <c r="A51" s="254"/>
      <c r="B51" s="871"/>
      <c r="C51" s="736"/>
      <c r="D51" s="736"/>
      <c r="E51" s="736"/>
      <c r="F51" s="885"/>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7"/>
      <c r="AL51" s="254"/>
      <c r="AM51" s="159" t="b">
        <v>0</v>
      </c>
      <c r="AN51" s="710" t="s">
        <v>66</v>
      </c>
      <c r="AO51" s="710"/>
      <c r="AP51" s="710"/>
      <c r="AR51" s="159" t="b">
        <v>0</v>
      </c>
      <c r="AS51" s="710" t="s">
        <v>69</v>
      </c>
      <c r="AT51" s="710"/>
    </row>
    <row r="52" spans="1:59" s="255" customFormat="1" ht="18" customHeight="1">
      <c r="A52" s="254"/>
      <c r="B52" s="871"/>
      <c r="C52" s="736"/>
      <c r="D52" s="736"/>
      <c r="E52" s="736"/>
      <c r="F52" s="888"/>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90"/>
      <c r="AL52" s="254"/>
      <c r="AM52" s="159" t="b">
        <v>1</v>
      </c>
      <c r="AN52" s="710" t="s">
        <v>67</v>
      </c>
      <c r="AO52" s="710"/>
      <c r="AP52" s="710"/>
      <c r="AR52" s="159" t="b">
        <v>1</v>
      </c>
      <c r="AS52" s="710" t="s">
        <v>2238</v>
      </c>
      <c r="AT52" s="710"/>
    </row>
    <row r="53" spans="1:59" s="255" customFormat="1" ht="18.75" customHeight="1">
      <c r="A53" s="254"/>
      <c r="B53" s="871"/>
      <c r="C53" s="736"/>
      <c r="D53" s="736"/>
      <c r="E53" s="736"/>
      <c r="F53" s="306" t="s">
        <v>77</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1</v>
      </c>
      <c r="AN53" s="710" t="s">
        <v>68</v>
      </c>
      <c r="AO53" s="710"/>
      <c r="AP53" s="710"/>
      <c r="AQ53" s="1"/>
      <c r="AR53" s="159" t="b">
        <v>0</v>
      </c>
      <c r="AS53" s="710" t="s">
        <v>83</v>
      </c>
      <c r="AT53" s="710"/>
      <c r="AV53" s="1"/>
      <c r="AW53" s="1"/>
      <c r="AX53" s="1"/>
      <c r="AY53" s="1"/>
      <c r="AZ53" s="1"/>
      <c r="BG53" s="1"/>
    </row>
    <row r="54" spans="1:59" ht="18.75" customHeight="1">
      <c r="A54" s="246"/>
      <c r="B54" s="872"/>
      <c r="C54" s="873"/>
      <c r="D54" s="873"/>
      <c r="E54" s="873"/>
      <c r="F54" s="308" t="s">
        <v>78</v>
      </c>
      <c r="G54" s="309"/>
      <c r="H54" s="309"/>
      <c r="I54" s="309"/>
      <c r="J54" s="309"/>
      <c r="K54" s="309"/>
      <c r="L54" s="309"/>
      <c r="M54" s="848" t="s">
        <v>79</v>
      </c>
      <c r="N54" s="849"/>
      <c r="O54" s="849"/>
      <c r="P54" s="849">
        <v>30</v>
      </c>
      <c r="Q54" s="849"/>
      <c r="R54" s="304" t="s">
        <v>80</v>
      </c>
      <c r="S54" s="849">
        <v>4</v>
      </c>
      <c r="T54" s="849"/>
      <c r="U54" s="304" t="s">
        <v>81</v>
      </c>
      <c r="V54" s="304" t="s">
        <v>73</v>
      </c>
      <c r="W54" s="310"/>
      <c r="X54" s="311" t="s">
        <v>82</v>
      </c>
      <c r="Y54" s="304"/>
      <c r="Z54" s="304"/>
      <c r="AA54" s="310"/>
      <c r="AB54" s="311" t="s">
        <v>83</v>
      </c>
      <c r="AC54" s="304"/>
      <c r="AD54" s="304" t="s">
        <v>74</v>
      </c>
      <c r="AE54" s="312"/>
      <c r="AF54" s="312"/>
      <c r="AG54" s="312"/>
      <c r="AH54" s="312"/>
      <c r="AI54" s="312"/>
      <c r="AJ54" s="312"/>
      <c r="AK54" s="313"/>
      <c r="AL54" s="254"/>
      <c r="AM54" s="159" t="b">
        <v>0</v>
      </c>
      <c r="AN54" s="710" t="s">
        <v>69</v>
      </c>
      <c r="AO54" s="710"/>
      <c r="AP54" s="710"/>
      <c r="AR54" s="159" t="b">
        <v>1</v>
      </c>
      <c r="AS54" s="710" t="s">
        <v>2239</v>
      </c>
      <c r="AT54" s="710"/>
    </row>
    <row r="55" spans="1:59" ht="24.75" customHeight="1">
      <c r="A55" s="246"/>
      <c r="B55" s="850" t="s">
        <v>84</v>
      </c>
      <c r="C55" s="851"/>
      <c r="D55" s="851"/>
      <c r="E55" s="852"/>
      <c r="F55" s="856"/>
      <c r="G55" s="858" t="s">
        <v>85</v>
      </c>
      <c r="H55" s="859"/>
      <c r="I55" s="860"/>
      <c r="J55" s="858" t="s">
        <v>86</v>
      </c>
      <c r="K55" s="859"/>
      <c r="L55" s="859"/>
      <c r="M55" s="864"/>
      <c r="N55" s="865" t="s">
        <v>2334</v>
      </c>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6"/>
      <c r="AL55" s="312"/>
      <c r="AM55" s="255"/>
    </row>
    <row r="56" spans="1:59" ht="18.75" customHeight="1" thickBot="1">
      <c r="A56" s="246"/>
      <c r="B56" s="853"/>
      <c r="C56" s="854"/>
      <c r="D56" s="854"/>
      <c r="E56" s="855"/>
      <c r="F56" s="857"/>
      <c r="G56" s="861"/>
      <c r="H56" s="862"/>
      <c r="I56" s="863"/>
      <c r="J56" s="861"/>
      <c r="K56" s="862"/>
      <c r="L56" s="862"/>
      <c r="M56" s="863"/>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8"/>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832" t="s">
        <v>87</v>
      </c>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246"/>
    </row>
    <row r="59" spans="1:59" ht="33" customHeight="1" thickBot="1">
      <c r="A59" s="246"/>
      <c r="B59" s="833" t="s">
        <v>2240</v>
      </c>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246"/>
      <c r="AS59" s="283"/>
    </row>
    <row r="60" spans="1:59" ht="18.75" customHeight="1">
      <c r="A60" s="246"/>
      <c r="B60" s="315" t="s">
        <v>37</v>
      </c>
      <c r="C60" s="834" t="s">
        <v>88</v>
      </c>
      <c r="D60" s="835"/>
      <c r="E60" s="835"/>
      <c r="F60" s="835"/>
      <c r="G60" s="835"/>
      <c r="H60" s="835"/>
      <c r="I60" s="835"/>
      <c r="J60" s="835"/>
      <c r="K60" s="835"/>
      <c r="L60" s="835"/>
      <c r="M60" s="835"/>
      <c r="N60" s="835"/>
      <c r="O60" s="835"/>
      <c r="P60" s="835"/>
      <c r="Q60" s="835"/>
      <c r="R60" s="835"/>
      <c r="S60" s="836"/>
      <c r="T60" s="837">
        <f>SUM('別紙様式6-2 事業所個票１:事業所個票10'!$BN$51)</f>
        <v>5302660</v>
      </c>
      <c r="U60" s="838"/>
      <c r="V60" s="838"/>
      <c r="W60" s="838"/>
      <c r="X60" s="838"/>
      <c r="Y60" s="839"/>
      <c r="Z60" s="275" t="s">
        <v>36</v>
      </c>
      <c r="AA60" s="264" t="s">
        <v>43</v>
      </c>
      <c r="AB60" s="840" t="str">
        <f>IFERROR(IF(T61&gt;=T60,"○","×"),"")</f>
        <v>×</v>
      </c>
      <c r="AC60" s="316"/>
      <c r="AD60" s="317"/>
      <c r="AE60" s="317"/>
      <c r="AF60" s="317"/>
      <c r="AG60" s="317"/>
      <c r="AH60" s="317"/>
      <c r="AI60" s="317"/>
      <c r="AJ60" s="317"/>
      <c r="AK60" s="317"/>
      <c r="AL60" s="246"/>
      <c r="AM60" s="609" t="s">
        <v>2241</v>
      </c>
      <c r="AN60" s="610"/>
      <c r="AO60" s="610"/>
      <c r="AP60" s="610"/>
      <c r="AQ60" s="610"/>
      <c r="AR60" s="610"/>
      <c r="AS60" s="610"/>
      <c r="AT60" s="610"/>
      <c r="AU60" s="610"/>
      <c r="AV60" s="610"/>
      <c r="AW60" s="610"/>
      <c r="AX60" s="610"/>
      <c r="AY60" s="610"/>
      <c r="AZ60" s="610"/>
      <c r="BA60" s="610"/>
      <c r="BB60" s="610"/>
      <c r="BC60" s="611"/>
    </row>
    <row r="61" spans="1:59" ht="27" customHeight="1" thickBot="1">
      <c r="A61" s="246"/>
      <c r="B61" s="315" t="s">
        <v>44</v>
      </c>
      <c r="C61" s="842" t="s">
        <v>89</v>
      </c>
      <c r="D61" s="843"/>
      <c r="E61" s="843"/>
      <c r="F61" s="843"/>
      <c r="G61" s="843"/>
      <c r="H61" s="843"/>
      <c r="I61" s="843"/>
      <c r="J61" s="843"/>
      <c r="K61" s="843"/>
      <c r="L61" s="843"/>
      <c r="M61" s="843"/>
      <c r="N61" s="843"/>
      <c r="O61" s="843"/>
      <c r="P61" s="843"/>
      <c r="Q61" s="843"/>
      <c r="R61" s="843"/>
      <c r="S61" s="844"/>
      <c r="T61" s="845">
        <v>5000000</v>
      </c>
      <c r="U61" s="846"/>
      <c r="V61" s="846"/>
      <c r="W61" s="846"/>
      <c r="X61" s="846"/>
      <c r="Y61" s="847"/>
      <c r="Z61" s="266" t="s">
        <v>36</v>
      </c>
      <c r="AA61" s="264" t="s">
        <v>43</v>
      </c>
      <c r="AB61" s="841"/>
      <c r="AC61" s="316"/>
      <c r="AD61" s="317"/>
      <c r="AE61" s="317"/>
      <c r="AF61" s="317"/>
      <c r="AG61" s="317"/>
      <c r="AH61" s="317"/>
      <c r="AI61" s="317"/>
      <c r="AJ61" s="317"/>
      <c r="AK61" s="317"/>
      <c r="AL61" s="246"/>
      <c r="AM61" s="612"/>
      <c r="AN61" s="613"/>
      <c r="AO61" s="613"/>
      <c r="AP61" s="613"/>
      <c r="AQ61" s="613"/>
      <c r="AR61" s="613"/>
      <c r="AS61" s="613"/>
      <c r="AT61" s="613"/>
      <c r="AU61" s="613"/>
      <c r="AV61" s="613"/>
      <c r="AW61" s="613"/>
      <c r="AX61" s="613"/>
      <c r="AY61" s="613"/>
      <c r="AZ61" s="613"/>
      <c r="BA61" s="613"/>
      <c r="BB61" s="613"/>
      <c r="BC61" s="614"/>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31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32</v>
      </c>
      <c r="C64" s="812" t="s">
        <v>2335</v>
      </c>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822" t="s">
        <v>2336</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246"/>
    </row>
    <row r="67" spans="1:81" ht="23.25" customHeight="1" thickBot="1">
      <c r="A67" s="246"/>
      <c r="B67" s="823" t="s">
        <v>92</v>
      </c>
      <c r="C67" s="659"/>
      <c r="D67" s="659"/>
      <c r="E67" s="659"/>
      <c r="F67" s="659"/>
      <c r="G67" s="659"/>
      <c r="H67" s="659"/>
      <c r="I67" s="659"/>
      <c r="J67" s="659"/>
      <c r="K67" s="659"/>
      <c r="L67" s="659"/>
      <c r="M67" s="659"/>
      <c r="N67" s="659"/>
      <c r="O67" s="659"/>
      <c r="P67" s="659"/>
      <c r="Q67" s="659"/>
      <c r="R67" s="659"/>
      <c r="S67" s="660"/>
      <c r="T67" s="814">
        <f>SUM('別紙様式6-2 事業所個票１:事業所個票10'!BV51)</f>
        <v>0</v>
      </c>
      <c r="U67" s="815"/>
      <c r="V67" s="815"/>
      <c r="W67" s="815"/>
      <c r="X67" s="815"/>
      <c r="Y67" s="322" t="s">
        <v>36</v>
      </c>
      <c r="Z67" s="323" t="s">
        <v>43</v>
      </c>
      <c r="AA67" s="324"/>
      <c r="AB67" s="246"/>
      <c r="AC67" s="246"/>
      <c r="AD67" s="246"/>
      <c r="AE67" s="246"/>
      <c r="AF67" s="246"/>
      <c r="AG67" s="246" t="s">
        <v>43</v>
      </c>
      <c r="AH67" s="325" t="str">
        <f>IF(T68&lt;T67,"×","")</f>
        <v/>
      </c>
      <c r="AI67" s="246"/>
      <c r="AJ67" s="246"/>
      <c r="AK67" s="246"/>
      <c r="AL67" s="246"/>
      <c r="AM67" s="623" t="s">
        <v>2337</v>
      </c>
      <c r="AN67" s="624"/>
      <c r="AO67" s="624"/>
      <c r="AP67" s="624"/>
      <c r="AQ67" s="624"/>
      <c r="AR67" s="624"/>
      <c r="AS67" s="624"/>
      <c r="AT67" s="624"/>
      <c r="AU67" s="624"/>
      <c r="AV67" s="624"/>
      <c r="AW67" s="624"/>
      <c r="AX67" s="624"/>
      <c r="AY67" s="624"/>
      <c r="AZ67" s="624"/>
      <c r="BA67" s="624"/>
      <c r="BB67" s="624"/>
      <c r="BC67" s="625"/>
    </row>
    <row r="68" spans="1:81" ht="23.25" customHeight="1" thickBot="1">
      <c r="A68" s="246"/>
      <c r="B68" s="824" t="s">
        <v>2338</v>
      </c>
      <c r="C68" s="825"/>
      <c r="D68" s="825"/>
      <c r="E68" s="825"/>
      <c r="F68" s="825"/>
      <c r="G68" s="825"/>
      <c r="H68" s="825"/>
      <c r="I68" s="825"/>
      <c r="J68" s="825"/>
      <c r="K68" s="825"/>
      <c r="L68" s="825"/>
      <c r="M68" s="825"/>
      <c r="N68" s="825"/>
      <c r="O68" s="825"/>
      <c r="P68" s="825"/>
      <c r="Q68" s="825"/>
      <c r="R68" s="825"/>
      <c r="S68" s="825"/>
      <c r="T68" s="826">
        <v>530000</v>
      </c>
      <c r="U68" s="827"/>
      <c r="V68" s="827"/>
      <c r="W68" s="827"/>
      <c r="X68" s="828"/>
      <c r="Y68" s="326" t="s">
        <v>36</v>
      </c>
      <c r="Z68" s="246"/>
      <c r="AA68" s="327" t="s">
        <v>73</v>
      </c>
      <c r="AB68" s="829">
        <f>IFERROR(T69/T67*100,0)</f>
        <v>0</v>
      </c>
      <c r="AC68" s="830"/>
      <c r="AD68" s="831"/>
      <c r="AE68" s="328" t="s">
        <v>93</v>
      </c>
      <c r="AF68" s="328" t="s">
        <v>74</v>
      </c>
      <c r="AG68" s="246" t="s">
        <v>43</v>
      </c>
      <c r="AH68" s="273" t="str">
        <f>IF(T67=0,"",(IF(AB68&gt;=200/3,"○","×")))</f>
        <v/>
      </c>
      <c r="AI68" s="311"/>
      <c r="AJ68" s="311"/>
      <c r="AK68" s="311"/>
      <c r="AL68" s="246"/>
      <c r="AM68" s="623" t="s">
        <v>2339</v>
      </c>
      <c r="AN68" s="624"/>
      <c r="AO68" s="624"/>
      <c r="AP68" s="624"/>
      <c r="AQ68" s="624"/>
      <c r="AR68" s="624"/>
      <c r="AS68" s="624"/>
      <c r="AT68" s="624"/>
      <c r="AU68" s="624"/>
      <c r="AV68" s="624"/>
      <c r="AW68" s="624"/>
      <c r="AX68" s="624"/>
      <c r="AY68" s="624"/>
      <c r="AZ68" s="624"/>
      <c r="BA68" s="624"/>
      <c r="BB68" s="624"/>
      <c r="BC68" s="625"/>
    </row>
    <row r="69" spans="1:81" ht="19.5" customHeight="1" thickBot="1">
      <c r="A69" s="246"/>
      <c r="B69" s="329"/>
      <c r="C69" s="816" t="s">
        <v>2340</v>
      </c>
      <c r="D69" s="816"/>
      <c r="E69" s="816"/>
      <c r="F69" s="816"/>
      <c r="G69" s="816"/>
      <c r="H69" s="816"/>
      <c r="I69" s="816"/>
      <c r="J69" s="816"/>
      <c r="K69" s="816"/>
      <c r="L69" s="816"/>
      <c r="M69" s="816"/>
      <c r="N69" s="816"/>
      <c r="O69" s="816"/>
      <c r="P69" s="816"/>
      <c r="Q69" s="816"/>
      <c r="R69" s="816"/>
      <c r="S69" s="816"/>
      <c r="T69" s="818">
        <v>400000</v>
      </c>
      <c r="U69" s="819"/>
      <c r="V69" s="819"/>
      <c r="W69" s="819"/>
      <c r="X69" s="820"/>
      <c r="Y69" s="330" t="s">
        <v>36</v>
      </c>
      <c r="Z69" s="331" t="s">
        <v>43</v>
      </c>
      <c r="AA69" s="98"/>
      <c r="AB69" s="332"/>
      <c r="AC69" s="333"/>
      <c r="AD69" s="334"/>
      <c r="AE69" s="334"/>
      <c r="AF69" s="328"/>
      <c r="AG69" s="246"/>
      <c r="AH69" s="246"/>
      <c r="AI69" s="311"/>
      <c r="AJ69" s="246"/>
      <c r="AK69" s="311"/>
      <c r="AL69" s="311"/>
    </row>
    <row r="70" spans="1:81" ht="16.5" customHeight="1">
      <c r="A70" s="246"/>
      <c r="B70" s="335"/>
      <c r="C70" s="817"/>
      <c r="D70" s="817"/>
      <c r="E70" s="817"/>
      <c r="F70" s="817"/>
      <c r="G70" s="817"/>
      <c r="H70" s="817"/>
      <c r="I70" s="817"/>
      <c r="J70" s="817"/>
      <c r="K70" s="817"/>
      <c r="L70" s="817"/>
      <c r="M70" s="817"/>
      <c r="N70" s="817"/>
      <c r="O70" s="817"/>
      <c r="P70" s="817"/>
      <c r="Q70" s="817"/>
      <c r="R70" s="817"/>
      <c r="S70" s="817"/>
      <c r="T70" s="336" t="s">
        <v>73</v>
      </c>
      <c r="U70" s="775">
        <f>T69/10</f>
        <v>40000</v>
      </c>
      <c r="V70" s="775"/>
      <c r="W70" s="775"/>
      <c r="X70" s="99" t="s">
        <v>36</v>
      </c>
      <c r="Y70" s="3" t="s">
        <v>74</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821" t="s">
        <v>94</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246"/>
    </row>
    <row r="73" spans="1:81" s="338" customFormat="1" ht="14.25" customHeight="1">
      <c r="A73" s="280"/>
      <c r="B73" s="280"/>
      <c r="C73" s="318" t="s">
        <v>95</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90</v>
      </c>
      <c r="D74" s="763" t="s">
        <v>2341</v>
      </c>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320"/>
      <c r="AM74" s="159" t="b">
        <v>1</v>
      </c>
      <c r="AN74" s="710" t="s">
        <v>2242</v>
      </c>
      <c r="AO74" s="710"/>
      <c r="AP74" s="710"/>
      <c r="AQ74" s="339"/>
      <c r="AR74" s="340" t="str">
        <f>IF(SUM('別紙様式6-2 事業所個票１:事業所個票10'!CI3)&gt;=1,"該当","")</f>
        <v>該当</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808"/>
      <c r="D75" s="809"/>
      <c r="E75" s="810" t="s">
        <v>2342</v>
      </c>
      <c r="F75" s="810"/>
      <c r="G75" s="810"/>
      <c r="H75" s="810"/>
      <c r="I75" s="810"/>
      <c r="J75" s="810"/>
      <c r="K75" s="810"/>
      <c r="L75" s="810"/>
      <c r="M75" s="810"/>
      <c r="N75" s="810"/>
      <c r="O75" s="810"/>
      <c r="P75" s="810"/>
      <c r="Q75" s="810"/>
      <c r="R75" s="810"/>
      <c r="S75" s="810"/>
      <c r="T75" s="810"/>
      <c r="U75" s="810"/>
      <c r="V75" s="810"/>
      <c r="W75" s="810"/>
      <c r="X75" s="811"/>
      <c r="Y75" s="169" t="s">
        <v>43</v>
      </c>
      <c r="Z75" s="273" t="str">
        <f>IF(AR74&lt;&gt;"該当","",IF(AM74=TRUE,"○","×"))</f>
        <v>○</v>
      </c>
      <c r="AA75" s="341"/>
      <c r="AB75" s="341"/>
      <c r="AC75" s="341"/>
      <c r="AD75" s="341"/>
      <c r="AE75" s="341"/>
      <c r="AF75" s="341"/>
      <c r="AG75" s="341"/>
      <c r="AH75" s="341"/>
      <c r="AI75" s="341"/>
      <c r="AJ75" s="341"/>
      <c r="AK75" s="341"/>
      <c r="AL75" s="341"/>
      <c r="AM75" s="623" t="s">
        <v>91</v>
      </c>
      <c r="AN75" s="530"/>
      <c r="AO75" s="530"/>
      <c r="AP75" s="530"/>
      <c r="AQ75" s="530"/>
      <c r="AR75" s="702"/>
      <c r="AS75" s="702"/>
      <c r="AT75" s="530"/>
      <c r="AU75" s="530"/>
      <c r="AV75" s="530"/>
      <c r="AW75" s="530"/>
      <c r="AX75" s="530"/>
      <c r="AY75" s="530"/>
      <c r="AZ75" s="530"/>
      <c r="BA75" s="530"/>
      <c r="BB75" s="530"/>
      <c r="BC75" s="531"/>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2343</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90</v>
      </c>
      <c r="D78" s="812" t="s">
        <v>2344</v>
      </c>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813" t="s">
        <v>96</v>
      </c>
      <c r="D79" s="659"/>
      <c r="E79" s="659"/>
      <c r="F79" s="659"/>
      <c r="G79" s="659"/>
      <c r="H79" s="659"/>
      <c r="I79" s="659"/>
      <c r="J79" s="659"/>
      <c r="K79" s="659"/>
      <c r="L79" s="659"/>
      <c r="M79" s="659"/>
      <c r="N79" s="659"/>
      <c r="O79" s="659"/>
      <c r="P79" s="659"/>
      <c r="Q79" s="659"/>
      <c r="R79" s="659"/>
      <c r="S79" s="659"/>
      <c r="T79" s="660"/>
      <c r="U79" s="814">
        <f>SUM('別紙様式6-2 事業所個票１:事業所個票10'!BA51)</f>
        <v>231434</v>
      </c>
      <c r="V79" s="815"/>
      <c r="W79" s="815"/>
      <c r="X79" s="815"/>
      <c r="Y79" s="815"/>
      <c r="Z79" s="346" t="s">
        <v>36</v>
      </c>
      <c r="AA79" s="264" t="s">
        <v>43</v>
      </c>
      <c r="AB79" s="527" t="s">
        <v>2422</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668" t="s">
        <v>97</v>
      </c>
      <c r="D80" s="668"/>
      <c r="E80" s="668"/>
      <c r="F80" s="668"/>
      <c r="G80" s="668"/>
      <c r="H80" s="668"/>
      <c r="I80" s="668"/>
      <c r="J80" s="668"/>
      <c r="K80" s="668"/>
      <c r="L80" s="668"/>
      <c r="M80" s="668"/>
      <c r="N80" s="668"/>
      <c r="O80" s="668"/>
      <c r="P80" s="668"/>
      <c r="Q80" s="668"/>
      <c r="R80" s="668"/>
      <c r="S80" s="668"/>
      <c r="T80" s="669"/>
      <c r="U80" s="814">
        <f>U81+U86</f>
        <v>336000</v>
      </c>
      <c r="V80" s="815"/>
      <c r="W80" s="815"/>
      <c r="X80" s="815"/>
      <c r="Y80" s="815"/>
      <c r="Z80" s="322" t="s">
        <v>36</v>
      </c>
      <c r="AA80" s="264" t="s">
        <v>43</v>
      </c>
      <c r="AB80" s="528"/>
      <c r="AC80" s="264"/>
      <c r="AD80" s="264"/>
      <c r="AE80" s="264"/>
      <c r="AF80" s="264"/>
      <c r="AG80" s="264"/>
      <c r="AH80" s="311"/>
      <c r="AI80" s="311"/>
      <c r="AJ80" s="311"/>
      <c r="AK80" s="311"/>
      <c r="AL80" s="311"/>
      <c r="AM80" s="347"/>
    </row>
    <row r="81" spans="1:55" ht="9.75" customHeight="1" thickBot="1">
      <c r="A81" s="246"/>
      <c r="B81" s="345"/>
      <c r="C81" s="781" t="s">
        <v>98</v>
      </c>
      <c r="D81" s="780"/>
      <c r="E81" s="784" t="s">
        <v>99</v>
      </c>
      <c r="F81" s="785"/>
      <c r="G81" s="785"/>
      <c r="H81" s="785"/>
      <c r="I81" s="785"/>
      <c r="J81" s="785"/>
      <c r="K81" s="785"/>
      <c r="L81" s="785"/>
      <c r="M81" s="785"/>
      <c r="N81" s="785"/>
      <c r="O81" s="785"/>
      <c r="P81" s="785"/>
      <c r="Q81" s="785"/>
      <c r="R81" s="785"/>
      <c r="S81" s="785"/>
      <c r="T81" s="786"/>
      <c r="U81" s="790">
        <v>186000</v>
      </c>
      <c r="V81" s="791"/>
      <c r="W81" s="791"/>
      <c r="X81" s="791"/>
      <c r="Y81" s="792"/>
      <c r="Z81" s="803" t="s">
        <v>36</v>
      </c>
      <c r="AA81" s="774" t="s">
        <v>43</v>
      </c>
      <c r="AB81" s="246"/>
      <c r="AC81" s="328"/>
      <c r="AD81" s="348"/>
      <c r="AE81" s="348"/>
      <c r="AF81" s="328"/>
      <c r="AG81" s="246"/>
      <c r="AH81" s="311"/>
      <c r="AI81" s="246"/>
      <c r="AJ81" s="311"/>
      <c r="AK81" s="246"/>
      <c r="AL81" s="311"/>
      <c r="AM81" s="347"/>
    </row>
    <row r="82" spans="1:55" ht="9.75" customHeight="1" thickBot="1">
      <c r="A82" s="246"/>
      <c r="B82" s="345"/>
      <c r="C82" s="781"/>
      <c r="D82" s="780"/>
      <c r="E82" s="787"/>
      <c r="F82" s="788"/>
      <c r="G82" s="788"/>
      <c r="H82" s="788"/>
      <c r="I82" s="788"/>
      <c r="J82" s="788"/>
      <c r="K82" s="788"/>
      <c r="L82" s="788"/>
      <c r="M82" s="788"/>
      <c r="N82" s="788"/>
      <c r="O82" s="788"/>
      <c r="P82" s="788"/>
      <c r="Q82" s="788"/>
      <c r="R82" s="788"/>
      <c r="S82" s="788"/>
      <c r="T82" s="789"/>
      <c r="U82" s="769"/>
      <c r="V82" s="770"/>
      <c r="W82" s="770"/>
      <c r="X82" s="770"/>
      <c r="Y82" s="771"/>
      <c r="Z82" s="804"/>
      <c r="AA82" s="774"/>
      <c r="AB82" s="795" t="s">
        <v>73</v>
      </c>
      <c r="AC82" s="796">
        <f>IFERROR(U83/U81*100,0)</f>
        <v>75.268817204301072</v>
      </c>
      <c r="AD82" s="797"/>
      <c r="AE82" s="798"/>
      <c r="AF82" s="802" t="s">
        <v>93</v>
      </c>
      <c r="AG82" s="802" t="s">
        <v>74</v>
      </c>
      <c r="AH82" s="753" t="s">
        <v>43</v>
      </c>
      <c r="AI82" s="527" t="s">
        <v>2422</v>
      </c>
      <c r="AJ82" s="311"/>
      <c r="AK82" s="246"/>
      <c r="AL82" s="311"/>
      <c r="AM82" s="754" t="s">
        <v>2345</v>
      </c>
      <c r="AN82" s="755"/>
      <c r="AO82" s="755"/>
      <c r="AP82" s="755"/>
      <c r="AQ82" s="755"/>
      <c r="AR82" s="755"/>
      <c r="AS82" s="755"/>
      <c r="AT82" s="755"/>
      <c r="AU82" s="755"/>
      <c r="AV82" s="755"/>
      <c r="AW82" s="755"/>
      <c r="AX82" s="755"/>
      <c r="AY82" s="755"/>
      <c r="AZ82" s="755"/>
      <c r="BA82" s="755"/>
      <c r="BB82" s="755"/>
      <c r="BC82" s="756"/>
    </row>
    <row r="83" spans="1:55" ht="9.75" customHeight="1" thickBot="1">
      <c r="A83" s="246"/>
      <c r="B83" s="345"/>
      <c r="C83" s="781"/>
      <c r="D83" s="780"/>
      <c r="E83" s="300"/>
      <c r="F83" s="760" t="s">
        <v>2346</v>
      </c>
      <c r="G83" s="761"/>
      <c r="H83" s="761"/>
      <c r="I83" s="761"/>
      <c r="J83" s="761"/>
      <c r="K83" s="761"/>
      <c r="L83" s="761"/>
      <c r="M83" s="761"/>
      <c r="N83" s="761"/>
      <c r="O83" s="761"/>
      <c r="P83" s="761"/>
      <c r="Q83" s="761"/>
      <c r="R83" s="761"/>
      <c r="S83" s="761"/>
      <c r="T83" s="761"/>
      <c r="U83" s="766">
        <v>140000</v>
      </c>
      <c r="V83" s="767"/>
      <c r="W83" s="767"/>
      <c r="X83" s="767"/>
      <c r="Y83" s="768"/>
      <c r="Z83" s="805" t="s">
        <v>36</v>
      </c>
      <c r="AA83" s="774" t="s">
        <v>43</v>
      </c>
      <c r="AB83" s="795"/>
      <c r="AC83" s="799"/>
      <c r="AD83" s="800"/>
      <c r="AE83" s="801"/>
      <c r="AF83" s="802"/>
      <c r="AG83" s="802"/>
      <c r="AH83" s="753"/>
      <c r="AI83" s="528"/>
      <c r="AJ83" s="311"/>
      <c r="AK83" s="246"/>
      <c r="AL83" s="311"/>
      <c r="AM83" s="757"/>
      <c r="AN83" s="758"/>
      <c r="AO83" s="758"/>
      <c r="AP83" s="758"/>
      <c r="AQ83" s="758"/>
      <c r="AR83" s="758"/>
      <c r="AS83" s="758"/>
      <c r="AT83" s="758"/>
      <c r="AU83" s="758"/>
      <c r="AV83" s="758"/>
      <c r="AW83" s="758"/>
      <c r="AX83" s="758"/>
      <c r="AY83" s="758"/>
      <c r="AZ83" s="758"/>
      <c r="BA83" s="758"/>
      <c r="BB83" s="758"/>
      <c r="BC83" s="759"/>
    </row>
    <row r="84" spans="1:55" ht="9.75" customHeight="1" thickBot="1">
      <c r="A84" s="246"/>
      <c r="B84" s="345"/>
      <c r="C84" s="781"/>
      <c r="D84" s="780"/>
      <c r="E84" s="349"/>
      <c r="F84" s="762"/>
      <c r="G84" s="763"/>
      <c r="H84" s="763"/>
      <c r="I84" s="763"/>
      <c r="J84" s="763"/>
      <c r="K84" s="763"/>
      <c r="L84" s="763"/>
      <c r="M84" s="763"/>
      <c r="N84" s="763"/>
      <c r="O84" s="763"/>
      <c r="P84" s="763"/>
      <c r="Q84" s="763"/>
      <c r="R84" s="763"/>
      <c r="S84" s="763"/>
      <c r="T84" s="763"/>
      <c r="U84" s="769"/>
      <c r="V84" s="770"/>
      <c r="W84" s="770"/>
      <c r="X84" s="770"/>
      <c r="Y84" s="771"/>
      <c r="Z84" s="806"/>
      <c r="AA84" s="774"/>
      <c r="AB84" s="246"/>
      <c r="AC84" s="246"/>
      <c r="AD84" s="246"/>
      <c r="AE84" s="246"/>
      <c r="AF84" s="246"/>
      <c r="AG84" s="246"/>
      <c r="AH84" s="246"/>
      <c r="AI84" s="246"/>
      <c r="AJ84" s="311"/>
      <c r="AK84" s="311"/>
      <c r="AL84" s="311"/>
    </row>
    <row r="85" spans="1:55" ht="15" customHeight="1" thickBot="1">
      <c r="A85" s="246"/>
      <c r="B85" s="345"/>
      <c r="C85" s="782"/>
      <c r="D85" s="783"/>
      <c r="E85" s="350"/>
      <c r="F85" s="764"/>
      <c r="G85" s="765"/>
      <c r="H85" s="765"/>
      <c r="I85" s="765"/>
      <c r="J85" s="765"/>
      <c r="K85" s="765"/>
      <c r="L85" s="765"/>
      <c r="M85" s="765"/>
      <c r="N85" s="765"/>
      <c r="O85" s="765"/>
      <c r="P85" s="765"/>
      <c r="Q85" s="765"/>
      <c r="R85" s="765"/>
      <c r="S85" s="765"/>
      <c r="T85" s="765"/>
      <c r="U85" s="351" t="s">
        <v>73</v>
      </c>
      <c r="V85" s="807">
        <f>U83/2</f>
        <v>70000</v>
      </c>
      <c r="W85" s="807"/>
      <c r="X85" s="807"/>
      <c r="Y85" s="100" t="s">
        <v>36</v>
      </c>
      <c r="Z85" s="3" t="s">
        <v>74</v>
      </c>
      <c r="AA85" s="101"/>
      <c r="AB85" s="332"/>
      <c r="AC85" s="332"/>
      <c r="AD85" s="333"/>
      <c r="AE85" s="776"/>
      <c r="AF85" s="776"/>
      <c r="AG85" s="328"/>
      <c r="AH85" s="246"/>
      <c r="AI85" s="337"/>
      <c r="AJ85" s="311"/>
      <c r="AK85" s="311"/>
      <c r="AL85" s="311"/>
      <c r="AM85" s="347"/>
    </row>
    <row r="86" spans="1:55" ht="9.75" customHeight="1" thickBot="1">
      <c r="A86" s="246"/>
      <c r="B86" s="345"/>
      <c r="C86" s="777" t="s">
        <v>100</v>
      </c>
      <c r="D86" s="778"/>
      <c r="E86" s="784" t="s">
        <v>101</v>
      </c>
      <c r="F86" s="785"/>
      <c r="G86" s="785"/>
      <c r="H86" s="785"/>
      <c r="I86" s="785"/>
      <c r="J86" s="785"/>
      <c r="K86" s="785"/>
      <c r="L86" s="785"/>
      <c r="M86" s="785"/>
      <c r="N86" s="785"/>
      <c r="O86" s="785"/>
      <c r="P86" s="785"/>
      <c r="Q86" s="785"/>
      <c r="R86" s="785"/>
      <c r="S86" s="785"/>
      <c r="T86" s="786"/>
      <c r="U86" s="790">
        <v>150000</v>
      </c>
      <c r="V86" s="791"/>
      <c r="W86" s="791"/>
      <c r="X86" s="791"/>
      <c r="Y86" s="792"/>
      <c r="Z86" s="793" t="s">
        <v>36</v>
      </c>
      <c r="AA86" s="774" t="s">
        <v>43</v>
      </c>
      <c r="AB86" s="332"/>
      <c r="AC86" s="246"/>
      <c r="AD86" s="328"/>
      <c r="AE86" s="348"/>
      <c r="AF86" s="348"/>
      <c r="AG86" s="328"/>
      <c r="AH86" s="246"/>
      <c r="AI86" s="246"/>
      <c r="AJ86" s="311"/>
      <c r="AK86" s="311"/>
      <c r="AL86" s="311"/>
      <c r="AM86" s="347"/>
    </row>
    <row r="87" spans="1:55" ht="9.75" customHeight="1" thickBot="1">
      <c r="A87" s="246"/>
      <c r="B87" s="345"/>
      <c r="C87" s="779"/>
      <c r="D87" s="780"/>
      <c r="E87" s="787"/>
      <c r="F87" s="788"/>
      <c r="G87" s="788"/>
      <c r="H87" s="788"/>
      <c r="I87" s="788"/>
      <c r="J87" s="788"/>
      <c r="K87" s="788"/>
      <c r="L87" s="788"/>
      <c r="M87" s="788"/>
      <c r="N87" s="788"/>
      <c r="O87" s="788"/>
      <c r="P87" s="788"/>
      <c r="Q87" s="788"/>
      <c r="R87" s="788"/>
      <c r="S87" s="788"/>
      <c r="T87" s="789"/>
      <c r="U87" s="769"/>
      <c r="V87" s="770"/>
      <c r="W87" s="770"/>
      <c r="X87" s="770"/>
      <c r="Y87" s="771"/>
      <c r="Z87" s="794"/>
      <c r="AA87" s="774"/>
      <c r="AB87" s="795" t="s">
        <v>73</v>
      </c>
      <c r="AC87" s="796">
        <f>IFERROR(U88/U86*100,0)</f>
        <v>83.333333333333343</v>
      </c>
      <c r="AD87" s="797"/>
      <c r="AE87" s="798"/>
      <c r="AF87" s="802" t="s">
        <v>93</v>
      </c>
      <c r="AG87" s="802" t="s">
        <v>74</v>
      </c>
      <c r="AH87" s="753" t="s">
        <v>43</v>
      </c>
      <c r="AI87" s="527" t="s">
        <v>2422</v>
      </c>
      <c r="AJ87" s="311"/>
      <c r="AK87" s="311"/>
      <c r="AL87" s="311"/>
      <c r="AM87" s="754" t="s">
        <v>2347</v>
      </c>
      <c r="AN87" s="755"/>
      <c r="AO87" s="755"/>
      <c r="AP87" s="755"/>
      <c r="AQ87" s="755"/>
      <c r="AR87" s="755"/>
      <c r="AS87" s="755"/>
      <c r="AT87" s="755"/>
      <c r="AU87" s="755"/>
      <c r="AV87" s="755"/>
      <c r="AW87" s="755"/>
      <c r="AX87" s="755"/>
      <c r="AY87" s="755"/>
      <c r="AZ87" s="755"/>
      <c r="BA87" s="755"/>
      <c r="BB87" s="755"/>
      <c r="BC87" s="756"/>
    </row>
    <row r="88" spans="1:55" ht="9.75" customHeight="1" thickBot="1">
      <c r="A88" s="246"/>
      <c r="B88" s="345"/>
      <c r="C88" s="779"/>
      <c r="D88" s="780"/>
      <c r="E88" s="352"/>
      <c r="F88" s="760" t="s">
        <v>2348</v>
      </c>
      <c r="G88" s="761"/>
      <c r="H88" s="761"/>
      <c r="I88" s="761"/>
      <c r="J88" s="761"/>
      <c r="K88" s="761"/>
      <c r="L88" s="761"/>
      <c r="M88" s="761"/>
      <c r="N88" s="761"/>
      <c r="O88" s="761"/>
      <c r="P88" s="761"/>
      <c r="Q88" s="761"/>
      <c r="R88" s="761"/>
      <c r="S88" s="761"/>
      <c r="T88" s="761"/>
      <c r="U88" s="766">
        <v>125000</v>
      </c>
      <c r="V88" s="767"/>
      <c r="W88" s="767"/>
      <c r="X88" s="767"/>
      <c r="Y88" s="768"/>
      <c r="Z88" s="772" t="s">
        <v>36</v>
      </c>
      <c r="AA88" s="774" t="s">
        <v>43</v>
      </c>
      <c r="AB88" s="795"/>
      <c r="AC88" s="799"/>
      <c r="AD88" s="800"/>
      <c r="AE88" s="801"/>
      <c r="AF88" s="802"/>
      <c r="AG88" s="802"/>
      <c r="AH88" s="753"/>
      <c r="AI88" s="528"/>
      <c r="AJ88" s="311"/>
      <c r="AK88" s="311"/>
      <c r="AL88" s="311"/>
      <c r="AM88" s="757"/>
      <c r="AN88" s="758"/>
      <c r="AO88" s="758"/>
      <c r="AP88" s="758"/>
      <c r="AQ88" s="758"/>
      <c r="AR88" s="758"/>
      <c r="AS88" s="758"/>
      <c r="AT88" s="758"/>
      <c r="AU88" s="758"/>
      <c r="AV88" s="758"/>
      <c r="AW88" s="758"/>
      <c r="AX88" s="758"/>
      <c r="AY88" s="758"/>
      <c r="AZ88" s="758"/>
      <c r="BA88" s="758"/>
      <c r="BB88" s="758"/>
      <c r="BC88" s="759"/>
    </row>
    <row r="89" spans="1:55" ht="9.75" customHeight="1" thickBot="1">
      <c r="A89" s="246"/>
      <c r="B89" s="345"/>
      <c r="C89" s="781"/>
      <c r="D89" s="780"/>
      <c r="E89" s="353"/>
      <c r="F89" s="762"/>
      <c r="G89" s="763"/>
      <c r="H89" s="763"/>
      <c r="I89" s="763"/>
      <c r="J89" s="763"/>
      <c r="K89" s="763"/>
      <c r="L89" s="763"/>
      <c r="M89" s="763"/>
      <c r="N89" s="763"/>
      <c r="O89" s="763"/>
      <c r="P89" s="763"/>
      <c r="Q89" s="763"/>
      <c r="R89" s="763"/>
      <c r="S89" s="763"/>
      <c r="T89" s="763"/>
      <c r="U89" s="769"/>
      <c r="V89" s="770"/>
      <c r="W89" s="770"/>
      <c r="X89" s="770"/>
      <c r="Y89" s="771"/>
      <c r="Z89" s="773"/>
      <c r="AA89" s="774"/>
      <c r="AB89" s="246"/>
      <c r="AC89" s="246"/>
      <c r="AD89" s="246"/>
      <c r="AE89" s="246"/>
      <c r="AF89" s="246"/>
      <c r="AG89" s="246"/>
      <c r="AH89" s="246"/>
      <c r="AI89" s="246"/>
      <c r="AJ89" s="311"/>
      <c r="AK89" s="311"/>
      <c r="AL89" s="311"/>
    </row>
    <row r="90" spans="1:55" ht="16.5" customHeight="1">
      <c r="A90" s="246"/>
      <c r="B90" s="345"/>
      <c r="C90" s="782"/>
      <c r="D90" s="783"/>
      <c r="E90" s="354"/>
      <c r="F90" s="764"/>
      <c r="G90" s="765"/>
      <c r="H90" s="765"/>
      <c r="I90" s="765"/>
      <c r="J90" s="765"/>
      <c r="K90" s="765"/>
      <c r="L90" s="765"/>
      <c r="M90" s="765"/>
      <c r="N90" s="765"/>
      <c r="O90" s="765"/>
      <c r="P90" s="765"/>
      <c r="Q90" s="765"/>
      <c r="R90" s="765"/>
      <c r="S90" s="765"/>
      <c r="T90" s="765"/>
      <c r="U90" s="336" t="s">
        <v>73</v>
      </c>
      <c r="V90" s="775">
        <f>U88/2</f>
        <v>62500</v>
      </c>
      <c r="W90" s="775"/>
      <c r="X90" s="775"/>
      <c r="Y90" s="99" t="s">
        <v>36</v>
      </c>
      <c r="Z90" s="4" t="s">
        <v>74</v>
      </c>
      <c r="AA90" s="101"/>
      <c r="AB90" s="332"/>
      <c r="AC90" s="333"/>
      <c r="AD90" s="776"/>
      <c r="AE90" s="776"/>
      <c r="AF90" s="328"/>
      <c r="AG90" s="246"/>
      <c r="AH90" s="246"/>
      <c r="AI90" s="355"/>
      <c r="AJ90" s="311"/>
      <c r="AK90" s="311"/>
      <c r="AL90" s="311"/>
      <c r="AM90" s="347"/>
    </row>
    <row r="91" spans="1:55" ht="6.75" customHeight="1">
      <c r="A91" s="246"/>
      <c r="B91" s="314" t="s">
        <v>102</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19" t="s">
        <v>103</v>
      </c>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c r="AL92" s="357"/>
      <c r="AM92" s="358"/>
    </row>
    <row r="93" spans="1:55" s="255" customFormat="1" ht="14.25" thickBot="1">
      <c r="A93" s="254"/>
      <c r="B93" s="318" t="s">
        <v>104</v>
      </c>
      <c r="C93" s="297"/>
      <c r="D93" s="297"/>
      <c r="E93" s="297"/>
      <c r="F93" s="297"/>
      <c r="G93" s="297"/>
      <c r="H93" s="297"/>
      <c r="I93" s="297"/>
      <c r="J93" s="297"/>
      <c r="K93" s="297"/>
      <c r="L93" s="297"/>
      <c r="M93" s="297"/>
      <c r="N93" s="297"/>
      <c r="O93" s="297"/>
      <c r="P93" s="297"/>
      <c r="Q93" s="297"/>
      <c r="R93" s="360" t="s">
        <v>90</v>
      </c>
      <c r="S93" s="361" t="s">
        <v>105</v>
      </c>
      <c r="T93" s="254"/>
      <c r="U93" s="297"/>
      <c r="V93" s="297"/>
      <c r="W93" s="297"/>
      <c r="X93" s="297"/>
      <c r="Y93" s="297"/>
      <c r="Z93" s="297"/>
      <c r="AA93" s="297"/>
      <c r="AB93" s="297"/>
      <c r="AC93" s="297"/>
      <c r="AD93" s="297"/>
      <c r="AE93" s="297"/>
      <c r="AF93" s="297"/>
      <c r="AG93" s="297"/>
      <c r="AH93" s="297"/>
      <c r="AI93" s="750" t="str">
        <f>IF(SUM('別紙様式6-2 事業所個票１:事業所個票10'!CI4)&gt;=1,"該当","")</f>
        <v>該当</v>
      </c>
      <c r="AJ93" s="751"/>
      <c r="AK93" s="752"/>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106</v>
      </c>
      <c r="C95" s="364"/>
      <c r="D95" s="364"/>
      <c r="E95" s="364"/>
      <c r="F95" s="364"/>
      <c r="G95" s="364"/>
      <c r="H95" s="364"/>
      <c r="I95" s="364"/>
      <c r="J95" s="364"/>
      <c r="K95" s="364"/>
      <c r="L95" s="364"/>
      <c r="M95" s="364"/>
      <c r="N95" s="364"/>
      <c r="O95" s="364"/>
      <c r="P95" s="364"/>
      <c r="Q95" s="364"/>
      <c r="R95" s="360" t="s">
        <v>90</v>
      </c>
      <c r="S95" s="361" t="s">
        <v>107</v>
      </c>
      <c r="T95" s="254"/>
      <c r="U95" s="364"/>
      <c r="V95" s="364"/>
      <c r="W95" s="364"/>
      <c r="X95" s="364"/>
      <c r="Y95" s="364"/>
      <c r="Z95" s="364"/>
      <c r="AA95" s="364"/>
      <c r="AB95" s="364"/>
      <c r="AC95" s="364"/>
      <c r="AD95" s="364"/>
      <c r="AE95" s="364"/>
      <c r="AF95" s="364"/>
      <c r="AG95" s="364"/>
      <c r="AH95" s="364"/>
      <c r="AI95" s="750" t="str">
        <f>IF(SUM('別紙様式6-2 事業所個票１:事業所個票10'!CI4)=0,"該当","")</f>
        <v/>
      </c>
      <c r="AJ95" s="751"/>
      <c r="AK95" s="752"/>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30" t="s">
        <v>108</v>
      </c>
      <c r="D97" s="730"/>
      <c r="E97" s="730"/>
      <c r="F97" s="730"/>
      <c r="G97" s="730"/>
      <c r="H97" s="730"/>
      <c r="I97" s="730"/>
      <c r="J97" s="730"/>
      <c r="K97" s="730"/>
      <c r="L97" s="730"/>
      <c r="M97" s="730"/>
      <c r="N97" s="730"/>
      <c r="O97" s="730"/>
      <c r="P97" s="730"/>
      <c r="Q97" s="730"/>
      <c r="R97" s="730"/>
      <c r="S97" s="730"/>
      <c r="T97" s="730"/>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676"/>
      <c r="D98" s="677"/>
      <c r="E98" s="731" t="s">
        <v>109</v>
      </c>
      <c r="F98" s="731"/>
      <c r="G98" s="731"/>
      <c r="H98" s="731"/>
      <c r="I98" s="731"/>
      <c r="J98" s="731"/>
      <c r="K98" s="731"/>
      <c r="L98" s="731"/>
      <c r="M98" s="731"/>
      <c r="N98" s="731"/>
      <c r="O98" s="731"/>
      <c r="P98" s="731"/>
      <c r="Q98" s="731"/>
      <c r="R98" s="732"/>
      <c r="S98" s="367" t="s">
        <v>43</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2236</v>
      </c>
    </row>
    <row r="99" spans="1:55" s="255" customFormat="1" ht="16.5" customHeight="1">
      <c r="A99" s="254"/>
      <c r="B99" s="369"/>
      <c r="C99" s="370" t="s">
        <v>110</v>
      </c>
      <c r="D99" s="371" t="s">
        <v>111</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1</v>
      </c>
      <c r="AN99" s="710" t="s">
        <v>2242</v>
      </c>
      <c r="AO99" s="710"/>
      <c r="AP99" s="710"/>
    </row>
    <row r="100" spans="1:55" s="255" customFormat="1" ht="16.5" customHeight="1">
      <c r="A100" s="254"/>
      <c r="B100" s="369"/>
      <c r="C100" s="374" t="s">
        <v>112</v>
      </c>
      <c r="D100" s="375" t="s">
        <v>113</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710" t="s">
        <v>2243</v>
      </c>
      <c r="AO100" s="710"/>
      <c r="AP100" s="710"/>
    </row>
    <row r="101" spans="1:55" s="255" customFormat="1" ht="16.5" customHeight="1">
      <c r="A101" s="254"/>
      <c r="B101" s="369"/>
      <c r="C101" s="380" t="s">
        <v>114</v>
      </c>
      <c r="D101" s="381" t="s">
        <v>115</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15" t="s">
        <v>116</v>
      </c>
      <c r="D103" s="715"/>
      <c r="E103" s="715"/>
      <c r="F103" s="715"/>
      <c r="G103" s="715"/>
      <c r="H103" s="715"/>
      <c r="I103" s="715"/>
      <c r="J103" s="715"/>
      <c r="K103" s="715"/>
      <c r="L103" s="314"/>
      <c r="M103" s="676"/>
      <c r="N103" s="677"/>
      <c r="O103" s="747" t="s">
        <v>117</v>
      </c>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9"/>
      <c r="AK103" s="273" t="str">
        <f>IF(T98="○","",(IF(AM100=TRUE,"○","×")))</f>
        <v/>
      </c>
      <c r="AL103" s="254"/>
      <c r="AM103" s="664" t="s">
        <v>2152</v>
      </c>
      <c r="AN103" s="670"/>
      <c r="AO103" s="670"/>
      <c r="AP103" s="670"/>
      <c r="AQ103" s="670"/>
      <c r="AR103" s="670"/>
      <c r="AS103" s="670"/>
      <c r="AT103" s="670"/>
      <c r="AU103" s="670"/>
      <c r="AV103" s="670"/>
      <c r="AW103" s="670"/>
      <c r="AX103" s="670"/>
      <c r="AY103" s="670"/>
      <c r="AZ103" s="670"/>
      <c r="BA103" s="670"/>
      <c r="BB103" s="670"/>
      <c r="BC103" s="671"/>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30" t="s">
        <v>118</v>
      </c>
      <c r="D105" s="730"/>
      <c r="E105" s="730"/>
      <c r="F105" s="730"/>
      <c r="G105" s="730"/>
      <c r="H105" s="730"/>
      <c r="I105" s="730"/>
      <c r="J105" s="730"/>
      <c r="K105" s="730"/>
      <c r="L105" s="730"/>
      <c r="M105" s="730"/>
      <c r="N105" s="730"/>
      <c r="O105" s="730"/>
      <c r="P105" s="730"/>
      <c r="Q105" s="730"/>
      <c r="R105" s="730"/>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676"/>
      <c r="D106" s="677"/>
      <c r="E106" s="731" t="s">
        <v>119</v>
      </c>
      <c r="F106" s="731"/>
      <c r="G106" s="731"/>
      <c r="H106" s="731"/>
      <c r="I106" s="731"/>
      <c r="J106" s="731"/>
      <c r="K106" s="731"/>
      <c r="L106" s="731"/>
      <c r="M106" s="731"/>
      <c r="N106" s="731"/>
      <c r="O106" s="731"/>
      <c r="P106" s="731"/>
      <c r="Q106" s="731"/>
      <c r="R106" s="732"/>
      <c r="S106" s="367" t="s">
        <v>43</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2236</v>
      </c>
    </row>
    <row r="107" spans="1:55" s="255" customFormat="1" ht="26.25" customHeight="1" thickBot="1">
      <c r="A107" s="254"/>
      <c r="B107" s="733"/>
      <c r="C107" s="370" t="s">
        <v>110</v>
      </c>
      <c r="D107" s="734" t="s">
        <v>120</v>
      </c>
      <c r="E107" s="735"/>
      <c r="F107" s="735"/>
      <c r="G107" s="735"/>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37"/>
      <c r="AL107" s="254"/>
      <c r="AM107" s="159" t="b">
        <v>0</v>
      </c>
      <c r="AN107" s="710" t="s">
        <v>2242</v>
      </c>
      <c r="AO107" s="710"/>
      <c r="AP107" s="710"/>
      <c r="AQ107" s="1"/>
      <c r="AR107" s="159" t="b">
        <v>0</v>
      </c>
      <c r="AS107" s="710" t="s">
        <v>2244</v>
      </c>
      <c r="AT107" s="710"/>
      <c r="AU107" s="710"/>
    </row>
    <row r="108" spans="1:55" s="255" customFormat="1" ht="25.5" customHeight="1" thickBot="1">
      <c r="A108" s="254"/>
      <c r="B108" s="733"/>
      <c r="C108" s="685"/>
      <c r="D108" s="687" t="s">
        <v>121</v>
      </c>
      <c r="E108" s="688"/>
      <c r="F108" s="688"/>
      <c r="G108" s="688"/>
      <c r="H108" s="720"/>
      <c r="I108" s="722" t="s">
        <v>37</v>
      </c>
      <c r="J108" s="724" t="s">
        <v>122</v>
      </c>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6"/>
      <c r="AL108" s="254"/>
      <c r="AM108" s="159" t="b">
        <v>1</v>
      </c>
      <c r="AN108" s="710" t="s">
        <v>2243</v>
      </c>
      <c r="AO108" s="710"/>
      <c r="AP108" s="710"/>
      <c r="AQ108" s="391"/>
      <c r="AR108" s="159" t="b">
        <v>0</v>
      </c>
      <c r="AS108" s="710" t="s">
        <v>2245</v>
      </c>
      <c r="AT108" s="710"/>
      <c r="AU108" s="710"/>
      <c r="AV108" s="391"/>
      <c r="AW108" s="391"/>
      <c r="AX108" s="391"/>
      <c r="AY108" s="391"/>
      <c r="AZ108" s="391"/>
      <c r="BA108" s="391"/>
      <c r="BB108" s="391"/>
      <c r="BC108" s="391"/>
    </row>
    <row r="109" spans="1:55" s="255" customFormat="1" ht="33" customHeight="1" thickBot="1">
      <c r="A109" s="254"/>
      <c r="B109" s="733"/>
      <c r="C109" s="685"/>
      <c r="D109" s="689"/>
      <c r="E109" s="690"/>
      <c r="F109" s="690"/>
      <c r="G109" s="690"/>
      <c r="H109" s="721"/>
      <c r="I109" s="723"/>
      <c r="J109" s="727" t="s">
        <v>2349</v>
      </c>
      <c r="K109" s="728"/>
      <c r="L109" s="728"/>
      <c r="M109" s="728"/>
      <c r="N109" s="728"/>
      <c r="O109" s="728"/>
      <c r="P109" s="728"/>
      <c r="Q109" s="728"/>
      <c r="R109" s="728"/>
      <c r="S109" s="728"/>
      <c r="T109" s="728"/>
      <c r="U109" s="728"/>
      <c r="V109" s="728"/>
      <c r="W109" s="728"/>
      <c r="X109" s="728"/>
      <c r="Y109" s="728"/>
      <c r="Z109" s="728"/>
      <c r="AA109" s="728"/>
      <c r="AB109" s="728"/>
      <c r="AC109" s="728"/>
      <c r="AD109" s="728"/>
      <c r="AE109" s="728"/>
      <c r="AF109" s="728"/>
      <c r="AG109" s="728"/>
      <c r="AH109" s="728"/>
      <c r="AI109" s="728"/>
      <c r="AJ109" s="728"/>
      <c r="AK109" s="729"/>
      <c r="AL109" s="254"/>
      <c r="AM109" s="664" t="s">
        <v>2350</v>
      </c>
      <c r="AN109" s="665"/>
      <c r="AO109" s="665"/>
      <c r="AP109" s="665"/>
      <c r="AQ109" s="665"/>
      <c r="AR109" s="665"/>
      <c r="AS109" s="665"/>
      <c r="AT109" s="665"/>
      <c r="AU109" s="665"/>
      <c r="AV109" s="665"/>
      <c r="AW109" s="665"/>
      <c r="AX109" s="665"/>
      <c r="AY109" s="665"/>
      <c r="AZ109" s="665"/>
      <c r="BA109" s="665"/>
      <c r="BB109" s="665"/>
      <c r="BC109" s="666"/>
    </row>
    <row r="110" spans="1:55" s="255" customFormat="1" ht="19.5" customHeight="1" thickBot="1">
      <c r="A110" s="254"/>
      <c r="B110" s="733"/>
      <c r="C110" s="685"/>
      <c r="D110" s="689"/>
      <c r="E110" s="690"/>
      <c r="F110" s="690"/>
      <c r="G110" s="690"/>
      <c r="H110" s="738"/>
      <c r="I110" s="740" t="s">
        <v>44</v>
      </c>
      <c r="J110" s="392" t="s">
        <v>123</v>
      </c>
      <c r="K110" s="393"/>
      <c r="L110" s="393"/>
      <c r="M110" s="393"/>
      <c r="N110" s="393"/>
      <c r="O110" s="393"/>
      <c r="P110" s="393"/>
      <c r="Q110" s="393"/>
      <c r="R110" s="393"/>
      <c r="S110" s="742" t="s">
        <v>124</v>
      </c>
      <c r="T110" s="742"/>
      <c r="U110" s="742"/>
      <c r="V110" s="742"/>
      <c r="W110" s="742"/>
      <c r="X110" s="742"/>
      <c r="Y110" s="742"/>
      <c r="Z110" s="742"/>
      <c r="AA110" s="742"/>
      <c r="AB110" s="742"/>
      <c r="AC110" s="742"/>
      <c r="AD110" s="742"/>
      <c r="AE110" s="742"/>
      <c r="AF110" s="742"/>
      <c r="AG110" s="742"/>
      <c r="AH110" s="742"/>
      <c r="AI110" s="742"/>
      <c r="AJ110" s="742"/>
      <c r="AK110" s="743"/>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33"/>
      <c r="C111" s="686"/>
      <c r="D111" s="691"/>
      <c r="E111" s="692"/>
      <c r="F111" s="692"/>
      <c r="G111" s="692"/>
      <c r="H111" s="739"/>
      <c r="I111" s="741"/>
      <c r="J111" s="744" t="s">
        <v>2351</v>
      </c>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6"/>
      <c r="AL111" s="254"/>
      <c r="AM111" s="664" t="s">
        <v>2352</v>
      </c>
      <c r="AN111" s="665"/>
      <c r="AO111" s="665"/>
      <c r="AP111" s="665"/>
      <c r="AQ111" s="665"/>
      <c r="AR111" s="665"/>
      <c r="AS111" s="665"/>
      <c r="AT111" s="665"/>
      <c r="AU111" s="665"/>
      <c r="AV111" s="665"/>
      <c r="AW111" s="665"/>
      <c r="AX111" s="665"/>
      <c r="AY111" s="665"/>
      <c r="AZ111" s="665"/>
      <c r="BA111" s="665"/>
      <c r="BB111" s="665"/>
      <c r="BC111" s="666"/>
    </row>
    <row r="112" spans="1:55" s="255" customFormat="1" ht="18" customHeight="1">
      <c r="A112" s="254"/>
      <c r="B112" s="394"/>
      <c r="C112" s="395" t="s">
        <v>112</v>
      </c>
      <c r="D112" s="381" t="s">
        <v>125</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15" t="s">
        <v>2353</v>
      </c>
      <c r="D114" s="715"/>
      <c r="E114" s="715"/>
      <c r="F114" s="715"/>
      <c r="G114" s="715"/>
      <c r="H114" s="715"/>
      <c r="I114" s="715"/>
      <c r="J114" s="715"/>
      <c r="K114" s="715"/>
      <c r="L114" s="314"/>
      <c r="M114" s="676"/>
      <c r="N114" s="677"/>
      <c r="O114" s="716" t="s">
        <v>126</v>
      </c>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8"/>
      <c r="AK114" s="273" t="str">
        <f>IF(T106="○","",(IF(AM108=TRUE,"○","×")))</f>
        <v>○</v>
      </c>
      <c r="AL114" s="254"/>
      <c r="AM114" s="664" t="s">
        <v>2153</v>
      </c>
      <c r="AN114" s="670"/>
      <c r="AO114" s="670"/>
      <c r="AP114" s="670"/>
      <c r="AQ114" s="670"/>
      <c r="AR114" s="670"/>
      <c r="AS114" s="670"/>
      <c r="AT114" s="670"/>
      <c r="AU114" s="670"/>
      <c r="AV114" s="670"/>
      <c r="AW114" s="670"/>
      <c r="AX114" s="670"/>
      <c r="AY114" s="670"/>
      <c r="AZ114" s="670"/>
      <c r="BA114" s="670"/>
      <c r="BB114" s="670"/>
      <c r="BC114" s="671"/>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19" t="s">
        <v>127</v>
      </c>
      <c r="C116" s="719"/>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254"/>
      <c r="AM116" s="400" t="str">
        <f>IF(SUM('別紙様式6-2 事業所個票１:事業所個票10'!CI5)&gt;=1,"該当","")</f>
        <v>該当</v>
      </c>
    </row>
    <row r="117" spans="1:55" s="255" customFormat="1" ht="17.25" customHeight="1" thickBot="1">
      <c r="A117" s="254"/>
      <c r="B117" s="401" t="s">
        <v>128</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2236</v>
      </c>
      <c r="AR117" s="159" t="b">
        <v>1</v>
      </c>
      <c r="AS117" s="710" t="s">
        <v>2244</v>
      </c>
      <c r="AT117" s="710"/>
      <c r="AU117" s="710"/>
    </row>
    <row r="118" spans="1:55" s="255" customFormat="1" ht="20.25" customHeight="1" thickBot="1">
      <c r="A118" s="254"/>
      <c r="B118" s="676"/>
      <c r="C118" s="677"/>
      <c r="D118" s="711" t="s">
        <v>119</v>
      </c>
      <c r="E118" s="711"/>
      <c r="F118" s="711"/>
      <c r="G118" s="711"/>
      <c r="H118" s="711"/>
      <c r="I118" s="711"/>
      <c r="J118" s="711"/>
      <c r="K118" s="711"/>
      <c r="L118" s="711"/>
      <c r="M118" s="711"/>
      <c r="N118" s="711"/>
      <c r="O118" s="711"/>
      <c r="P118" s="711"/>
      <c r="Q118" s="712"/>
      <c r="R118" s="404" t="s">
        <v>43</v>
      </c>
      <c r="S118" s="325" t="str">
        <f>IF(AM116="","",IF(AND(AM118=TRUE,OR(AR117=TRUE,AR118=TRUE,AR119=TRUE)),"○","×"))</f>
        <v>○</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1</v>
      </c>
      <c r="AN118" s="710" t="s">
        <v>2242</v>
      </c>
      <c r="AO118" s="710"/>
      <c r="AP118" s="710"/>
      <c r="AR118" s="159" t="b">
        <v>0</v>
      </c>
      <c r="AS118" s="710" t="s">
        <v>2245</v>
      </c>
      <c r="AT118" s="710"/>
      <c r="AU118" s="710"/>
    </row>
    <row r="119" spans="1:55" s="255" customFormat="1" ht="28.5" customHeight="1" thickBot="1">
      <c r="A119" s="254"/>
      <c r="B119" s="370" t="s">
        <v>110</v>
      </c>
      <c r="C119" s="713" t="s">
        <v>129</v>
      </c>
      <c r="D119" s="627"/>
      <c r="E119" s="627"/>
      <c r="F119" s="627"/>
      <c r="G119" s="627"/>
      <c r="H119" s="627"/>
      <c r="I119" s="627"/>
      <c r="J119" s="627"/>
      <c r="K119" s="627"/>
      <c r="L119" s="627"/>
      <c r="M119" s="627"/>
      <c r="N119" s="627"/>
      <c r="O119" s="627"/>
      <c r="P119" s="627"/>
      <c r="Q119" s="627"/>
      <c r="R119" s="627"/>
      <c r="S119" s="630"/>
      <c r="T119" s="627"/>
      <c r="U119" s="627"/>
      <c r="V119" s="627"/>
      <c r="W119" s="627"/>
      <c r="X119" s="627"/>
      <c r="Y119" s="627"/>
      <c r="Z119" s="627"/>
      <c r="AA119" s="627"/>
      <c r="AB119" s="627"/>
      <c r="AC119" s="627"/>
      <c r="AD119" s="627"/>
      <c r="AE119" s="627"/>
      <c r="AF119" s="627"/>
      <c r="AG119" s="627"/>
      <c r="AH119" s="627"/>
      <c r="AI119" s="627"/>
      <c r="AJ119" s="627"/>
      <c r="AK119" s="714"/>
      <c r="AL119" s="254"/>
      <c r="AM119" s="159" t="b">
        <v>0</v>
      </c>
      <c r="AN119" s="710" t="s">
        <v>2243</v>
      </c>
      <c r="AO119" s="710"/>
      <c r="AP119" s="710"/>
      <c r="AR119" s="159" t="b">
        <v>0</v>
      </c>
      <c r="AS119" s="710" t="s">
        <v>2246</v>
      </c>
      <c r="AT119" s="710"/>
      <c r="AU119" s="710"/>
    </row>
    <row r="120" spans="1:55" s="255" customFormat="1" ht="25.5" customHeight="1">
      <c r="A120" s="254"/>
      <c r="B120" s="685"/>
      <c r="C120" s="687" t="s">
        <v>130</v>
      </c>
      <c r="D120" s="688"/>
      <c r="E120" s="688"/>
      <c r="F120" s="688"/>
      <c r="G120" s="406"/>
      <c r="H120" s="407" t="s">
        <v>37</v>
      </c>
      <c r="I120" s="693" t="s">
        <v>131</v>
      </c>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5"/>
      <c r="AL120" s="254"/>
      <c r="AM120" s="609" t="s">
        <v>2354</v>
      </c>
      <c r="AN120" s="696"/>
      <c r="AO120" s="696"/>
      <c r="AP120" s="696"/>
      <c r="AQ120" s="696"/>
      <c r="AR120" s="696"/>
      <c r="AS120" s="696"/>
      <c r="AT120" s="696"/>
      <c r="AU120" s="696"/>
      <c r="AV120" s="696"/>
      <c r="AW120" s="696"/>
      <c r="AX120" s="696"/>
      <c r="AY120" s="696"/>
      <c r="AZ120" s="696"/>
      <c r="BA120" s="696"/>
      <c r="BB120" s="696"/>
      <c r="BC120" s="697"/>
    </row>
    <row r="121" spans="1:55" s="255" customFormat="1" ht="33.75" customHeight="1">
      <c r="A121" s="254"/>
      <c r="B121" s="685"/>
      <c r="C121" s="689"/>
      <c r="D121" s="690"/>
      <c r="E121" s="690"/>
      <c r="F121" s="690"/>
      <c r="G121" s="408"/>
      <c r="H121" s="409" t="s">
        <v>44</v>
      </c>
      <c r="I121" s="704" t="s">
        <v>132</v>
      </c>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6"/>
      <c r="AL121" s="254"/>
      <c r="AM121" s="698"/>
      <c r="AN121" s="699"/>
      <c r="AO121" s="699"/>
      <c r="AP121" s="699"/>
      <c r="AQ121" s="699"/>
      <c r="AR121" s="699"/>
      <c r="AS121" s="699"/>
      <c r="AT121" s="699"/>
      <c r="AU121" s="699"/>
      <c r="AV121" s="699"/>
      <c r="AW121" s="699"/>
      <c r="AX121" s="699"/>
      <c r="AY121" s="699"/>
      <c r="AZ121" s="699"/>
      <c r="BA121" s="699"/>
      <c r="BB121" s="699"/>
      <c r="BC121" s="700"/>
    </row>
    <row r="122" spans="1:55" s="255" customFormat="1" ht="37.5" customHeight="1" thickBot="1">
      <c r="A122" s="254"/>
      <c r="B122" s="686"/>
      <c r="C122" s="691"/>
      <c r="D122" s="692"/>
      <c r="E122" s="692"/>
      <c r="F122" s="692"/>
      <c r="G122" s="410"/>
      <c r="H122" s="411" t="s">
        <v>45</v>
      </c>
      <c r="I122" s="707" t="s">
        <v>133</v>
      </c>
      <c r="J122" s="708"/>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9"/>
      <c r="AL122" s="254"/>
      <c r="AM122" s="701"/>
      <c r="AN122" s="702"/>
      <c r="AO122" s="702"/>
      <c r="AP122" s="702"/>
      <c r="AQ122" s="702"/>
      <c r="AR122" s="702"/>
      <c r="AS122" s="702"/>
      <c r="AT122" s="702"/>
      <c r="AU122" s="702"/>
      <c r="AV122" s="702"/>
      <c r="AW122" s="702"/>
      <c r="AX122" s="702"/>
      <c r="AY122" s="702"/>
      <c r="AZ122" s="702"/>
      <c r="BA122" s="702"/>
      <c r="BB122" s="702"/>
      <c r="BC122" s="703"/>
    </row>
    <row r="123" spans="1:55" s="255" customFormat="1" ht="13.5" customHeight="1">
      <c r="A123" s="254"/>
      <c r="B123" s="412" t="s">
        <v>112</v>
      </c>
      <c r="C123" s="672" t="s">
        <v>125</v>
      </c>
      <c r="D123" s="673"/>
      <c r="E123" s="673"/>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4"/>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675" t="s">
        <v>2355</v>
      </c>
      <c r="C125" s="675"/>
      <c r="D125" s="675"/>
      <c r="E125" s="675"/>
      <c r="F125" s="675"/>
      <c r="G125" s="675"/>
      <c r="H125" s="675"/>
      <c r="I125" s="675"/>
      <c r="J125" s="675"/>
      <c r="K125" s="675"/>
      <c r="L125" s="314"/>
      <c r="M125" s="676"/>
      <c r="N125" s="677"/>
      <c r="O125" s="678" t="s">
        <v>134</v>
      </c>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679"/>
      <c r="AK125" s="273" t="str">
        <f>IF(S118="","",IF(S118="○","",IF(AM119=TRUE,"○","×")))</f>
        <v/>
      </c>
      <c r="AL125" s="254"/>
      <c r="AM125" s="623" t="s">
        <v>2154</v>
      </c>
      <c r="AN125" s="530"/>
      <c r="AO125" s="530"/>
      <c r="AP125" s="530"/>
      <c r="AQ125" s="530"/>
      <c r="AR125" s="530"/>
      <c r="AS125" s="530"/>
      <c r="AT125" s="530"/>
      <c r="AU125" s="530"/>
      <c r="AV125" s="530"/>
      <c r="AW125" s="530"/>
      <c r="AX125" s="530"/>
      <c r="AY125" s="530"/>
      <c r="AZ125" s="530"/>
      <c r="BA125" s="530"/>
      <c r="BB125" s="530"/>
      <c r="BC125" s="531"/>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01" t="s">
        <v>135</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254"/>
      <c r="AM127" s="414"/>
    </row>
    <row r="128" spans="1:55" ht="15.75" customHeight="1" thickBot="1">
      <c r="A128" s="246"/>
      <c r="B128" s="369" t="s">
        <v>136</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901" t="s">
        <v>137</v>
      </c>
      <c r="C129" s="902"/>
      <c r="D129" s="902"/>
      <c r="E129" s="902"/>
      <c r="F129" s="902"/>
      <c r="G129" s="902"/>
      <c r="H129" s="902"/>
      <c r="I129" s="902"/>
      <c r="J129" s="902"/>
      <c r="K129" s="902"/>
      <c r="L129" s="680" t="s">
        <v>2370</v>
      </c>
      <c r="M129" s="680"/>
      <c r="N129" s="680"/>
      <c r="O129" s="680"/>
      <c r="P129" s="680"/>
      <c r="Q129" s="680"/>
      <c r="R129" s="680"/>
      <c r="S129" s="680"/>
      <c r="T129" s="680"/>
      <c r="U129" s="680"/>
      <c r="V129" s="680"/>
      <c r="W129" s="680"/>
      <c r="X129" s="680"/>
      <c r="Y129" s="680"/>
      <c r="Z129" s="680"/>
      <c r="AA129" s="681"/>
      <c r="AB129" s="415">
        <f>SUM('別紙様式6-2 事業所個票１:事業所個票10'!AG37)</f>
        <v>3</v>
      </c>
      <c r="AC129" s="682" t="s">
        <v>2372</v>
      </c>
      <c r="AD129" s="683" t="str">
        <f>IF(AB130=0,"",IF(AB129&gt;=AB130,"○","×"))</f>
        <v>○</v>
      </c>
      <c r="AE129" s="246"/>
      <c r="AF129" s="246"/>
      <c r="AG129" s="246"/>
      <c r="AH129" s="246"/>
      <c r="AI129" s="246"/>
      <c r="AJ129" s="246"/>
      <c r="AK129" s="246"/>
      <c r="AL129" s="246"/>
      <c r="AM129" s="416" t="str">
        <f>IF(OR(AD129="×",AD131="×"),"×","")</f>
        <v>×</v>
      </c>
    </row>
    <row r="130" spans="1:56" ht="24.75" customHeight="1" thickBot="1">
      <c r="A130" s="246"/>
      <c r="B130" s="932"/>
      <c r="C130" s="933"/>
      <c r="D130" s="933"/>
      <c r="E130" s="933"/>
      <c r="F130" s="933"/>
      <c r="G130" s="933"/>
      <c r="H130" s="933"/>
      <c r="I130" s="933"/>
      <c r="J130" s="933"/>
      <c r="K130" s="933"/>
      <c r="L130" s="680" t="s">
        <v>2371</v>
      </c>
      <c r="M130" s="680"/>
      <c r="N130" s="680"/>
      <c r="O130" s="680"/>
      <c r="P130" s="680"/>
      <c r="Q130" s="680"/>
      <c r="R130" s="680"/>
      <c r="S130" s="680"/>
      <c r="T130" s="680"/>
      <c r="U130" s="680"/>
      <c r="V130" s="680"/>
      <c r="W130" s="680"/>
      <c r="X130" s="680"/>
      <c r="Y130" s="680"/>
      <c r="Z130" s="680"/>
      <c r="AA130" s="681"/>
      <c r="AB130" s="415">
        <f>SUM('別紙様式6-2 事業所個票１:事業所個票10'!CI6)</f>
        <v>3</v>
      </c>
      <c r="AC130" s="682"/>
      <c r="AD130" s="684"/>
      <c r="AE130" s="246"/>
      <c r="AF130" s="246"/>
      <c r="AG130" s="246"/>
      <c r="AH130" s="246"/>
      <c r="AI130" s="246"/>
      <c r="AJ130" s="246"/>
      <c r="AK130" s="246"/>
      <c r="AL130" s="246"/>
    </row>
    <row r="131" spans="1:56" ht="24.75" customHeight="1" thickBot="1">
      <c r="A131" s="246"/>
      <c r="B131" s="626" t="s">
        <v>2356</v>
      </c>
      <c r="C131" s="627"/>
      <c r="D131" s="627"/>
      <c r="E131" s="627"/>
      <c r="F131" s="627"/>
      <c r="G131" s="627"/>
      <c r="H131" s="627"/>
      <c r="I131" s="627"/>
      <c r="J131" s="627"/>
      <c r="K131" s="627"/>
      <c r="L131" s="680" t="s">
        <v>2370</v>
      </c>
      <c r="M131" s="680"/>
      <c r="N131" s="680"/>
      <c r="O131" s="680"/>
      <c r="P131" s="680"/>
      <c r="Q131" s="680"/>
      <c r="R131" s="680"/>
      <c r="S131" s="680"/>
      <c r="T131" s="680"/>
      <c r="U131" s="680"/>
      <c r="V131" s="680"/>
      <c r="W131" s="680"/>
      <c r="X131" s="680"/>
      <c r="Y131" s="680"/>
      <c r="Z131" s="680"/>
      <c r="AA131" s="681"/>
      <c r="AB131" s="415">
        <f>SUM('別紙様式6-2 事業所個票１:事業所個票10'!AO37)</f>
        <v>2</v>
      </c>
      <c r="AC131" s="682" t="s">
        <v>2372</v>
      </c>
      <c r="AD131" s="683" t="str">
        <f>IF(AB132=0,"",IF(AB131&gt;=AB132,"○","×"))</f>
        <v>×</v>
      </c>
      <c r="AE131" s="246"/>
      <c r="AF131" s="417"/>
      <c r="AG131" s="246"/>
      <c r="AH131" s="246"/>
      <c r="AI131" s="246"/>
      <c r="AJ131" s="246"/>
      <c r="AK131" s="246"/>
      <c r="AL131" s="246"/>
    </row>
    <row r="132" spans="1:56" ht="24.75" customHeight="1" thickBot="1">
      <c r="A132" s="246"/>
      <c r="B132" s="632"/>
      <c r="C132" s="633"/>
      <c r="D132" s="633"/>
      <c r="E132" s="633"/>
      <c r="F132" s="633"/>
      <c r="G132" s="633"/>
      <c r="H132" s="633"/>
      <c r="I132" s="633"/>
      <c r="J132" s="633"/>
      <c r="K132" s="633"/>
      <c r="L132" s="680" t="s">
        <v>2371</v>
      </c>
      <c r="M132" s="680"/>
      <c r="N132" s="680"/>
      <c r="O132" s="680"/>
      <c r="P132" s="680"/>
      <c r="Q132" s="680"/>
      <c r="R132" s="680"/>
      <c r="S132" s="680"/>
      <c r="T132" s="680"/>
      <c r="U132" s="680"/>
      <c r="V132" s="680"/>
      <c r="W132" s="680"/>
      <c r="X132" s="680"/>
      <c r="Y132" s="680"/>
      <c r="Z132" s="680"/>
      <c r="AA132" s="681"/>
      <c r="AB132" s="415">
        <f>SUM('別紙様式6-2 事業所個票１:事業所個票10'!CI6)</f>
        <v>3</v>
      </c>
      <c r="AC132" s="682"/>
      <c r="AD132" s="684"/>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138</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v>
      </c>
      <c r="AL134" s="246"/>
      <c r="AM134" s="623" t="s">
        <v>2357</v>
      </c>
      <c r="AN134" s="530"/>
      <c r="AO134" s="530"/>
      <c r="AP134" s="530"/>
      <c r="AQ134" s="530"/>
      <c r="AR134" s="530"/>
      <c r="AS134" s="530"/>
      <c r="AT134" s="530"/>
      <c r="AU134" s="530"/>
      <c r="AV134" s="530"/>
      <c r="AW134" s="530"/>
      <c r="AX134" s="530"/>
      <c r="AY134" s="530"/>
      <c r="AZ134" s="530"/>
      <c r="BA134" s="530"/>
      <c r="BB134" s="530"/>
      <c r="BC134" s="531"/>
    </row>
    <row r="135" spans="1:56" s="255" customFormat="1" ht="14.25" customHeight="1">
      <c r="A135" s="254"/>
      <c r="B135" s="421" t="s">
        <v>139</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2358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2359</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1</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662" t="s">
        <v>140</v>
      </c>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254"/>
      <c r="AK138" s="313"/>
      <c r="AL138" s="433"/>
      <c r="AM138" s="159" t="b">
        <v>1</v>
      </c>
      <c r="AN138" s="428"/>
      <c r="AO138" s="428"/>
      <c r="AP138" s="428"/>
      <c r="AS138" s="429"/>
      <c r="AT138" s="429"/>
    </row>
    <row r="139" spans="1:56" s="255" customFormat="1" ht="18" customHeight="1" thickBot="1">
      <c r="A139" s="254"/>
      <c r="B139" s="434"/>
      <c r="C139" s="435"/>
      <c r="D139" s="436" t="s">
        <v>141</v>
      </c>
      <c r="E139" s="437"/>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438" t="s">
        <v>74</v>
      </c>
      <c r="AL139" s="254"/>
      <c r="AM139" s="159" t="b">
        <v>0</v>
      </c>
      <c r="AN139" s="664" t="s">
        <v>2360</v>
      </c>
      <c r="AO139" s="665"/>
      <c r="AP139" s="665"/>
      <c r="AQ139" s="665"/>
      <c r="AR139" s="665"/>
      <c r="AS139" s="665"/>
      <c r="AT139" s="665"/>
      <c r="AU139" s="665"/>
      <c r="AV139" s="665"/>
      <c r="AW139" s="665"/>
      <c r="AX139" s="665"/>
      <c r="AY139" s="665"/>
      <c r="AZ139" s="665"/>
      <c r="BA139" s="665"/>
      <c r="BB139" s="665"/>
      <c r="BC139" s="666"/>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01" t="s">
        <v>142</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246"/>
      <c r="AM141" s="441" t="str">
        <f>IF(SUM('別紙様式6-2 事業所個票１:事業所個票10'!CI9)&gt;=1,"表示","表示不要")</f>
        <v>表示不要</v>
      </c>
    </row>
    <row r="142" spans="1:56" ht="14.25" thickBot="1">
      <c r="A142" s="246"/>
      <c r="B142" s="369" t="s">
        <v>2361</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667" t="s">
        <v>143</v>
      </c>
      <c r="C143" s="668"/>
      <c r="D143" s="668"/>
      <c r="E143" s="668"/>
      <c r="F143" s="668"/>
      <c r="G143" s="668"/>
      <c r="H143" s="668"/>
      <c r="I143" s="668"/>
      <c r="J143" s="668"/>
      <c r="K143" s="668"/>
      <c r="L143" s="668"/>
      <c r="M143" s="668"/>
      <c r="N143" s="668"/>
      <c r="O143" s="668"/>
      <c r="P143" s="668"/>
      <c r="Q143" s="669"/>
      <c r="R143" s="442" t="s">
        <v>90</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664" t="s">
        <v>2373</v>
      </c>
      <c r="AN143" s="670"/>
      <c r="AO143" s="670"/>
      <c r="AP143" s="670"/>
      <c r="AQ143" s="670"/>
      <c r="AR143" s="670"/>
      <c r="AS143" s="670"/>
      <c r="AT143" s="670"/>
      <c r="AU143" s="670"/>
      <c r="AV143" s="670"/>
      <c r="AW143" s="670"/>
      <c r="AX143" s="670"/>
      <c r="AY143" s="670"/>
      <c r="AZ143" s="670"/>
      <c r="BA143" s="670"/>
      <c r="BB143" s="670"/>
      <c r="BC143" s="671"/>
    </row>
    <row r="144" spans="1:56" ht="16.5" customHeight="1" thickBot="1">
      <c r="A144" s="246"/>
      <c r="B144" s="658" t="s">
        <v>144</v>
      </c>
      <c r="C144" s="659"/>
      <c r="D144" s="659"/>
      <c r="E144" s="659"/>
      <c r="F144" s="659"/>
      <c r="G144" s="659"/>
      <c r="H144" s="659"/>
      <c r="I144" s="659"/>
      <c r="J144" s="659"/>
      <c r="K144" s="659"/>
      <c r="L144" s="659"/>
      <c r="M144" s="659"/>
      <c r="N144" s="659"/>
      <c r="O144" s="659"/>
      <c r="P144" s="659"/>
      <c r="Q144" s="660"/>
      <c r="R144" s="442" t="s">
        <v>90</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664" t="s">
        <v>2374</v>
      </c>
      <c r="AN144" s="670"/>
      <c r="AO144" s="670"/>
      <c r="AP144" s="670"/>
      <c r="AQ144" s="670"/>
      <c r="AR144" s="670"/>
      <c r="AS144" s="670"/>
      <c r="AT144" s="670"/>
      <c r="AU144" s="670"/>
      <c r="AV144" s="670"/>
      <c r="AW144" s="670"/>
      <c r="AX144" s="670"/>
      <c r="AY144" s="670"/>
      <c r="AZ144" s="670"/>
      <c r="BA144" s="670"/>
      <c r="BB144" s="670"/>
      <c r="BC144" s="671"/>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661" t="s">
        <v>145</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445"/>
    </row>
    <row r="147" spans="1:55" s="255" customFormat="1" ht="18.75" customHeight="1" thickBot="1">
      <c r="A147" s="254"/>
      <c r="B147" s="318" t="s">
        <v>146</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649" t="str">
        <f>IF(SUM('別紙様式6-2 事業所個票１:事業所個票10'!CI10)=0,"該当","")</f>
        <v/>
      </c>
      <c r="AJ147" s="650"/>
      <c r="AK147" s="651"/>
      <c r="AL147" s="254"/>
    </row>
    <row r="148" spans="1:55" s="255" customFormat="1" ht="28.5" customHeight="1">
      <c r="A148" s="254"/>
      <c r="B148" s="344" t="s">
        <v>90</v>
      </c>
      <c r="C148" s="648" t="s">
        <v>147</v>
      </c>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648"/>
      <c r="AH148" s="648"/>
      <c r="AI148" s="648"/>
      <c r="AJ148" s="648"/>
      <c r="AK148" s="648"/>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148</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649" t="str">
        <f>IF(SUM('別紙様式6-2 事業所個票１:事業所個票10'!CI10)&gt;=1,"該当","")</f>
        <v>該当</v>
      </c>
      <c r="AJ150" s="650"/>
      <c r="AK150" s="651"/>
      <c r="AL150" s="254"/>
    </row>
    <row r="151" spans="1:55" s="255" customFormat="1" ht="39" customHeight="1">
      <c r="A151" s="254"/>
      <c r="B151" s="344" t="s">
        <v>90</v>
      </c>
      <c r="C151" s="648" t="s">
        <v>149</v>
      </c>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652" t="s">
        <v>150</v>
      </c>
      <c r="C153" s="653"/>
      <c r="D153" s="653"/>
      <c r="E153" s="654"/>
      <c r="F153" s="655" t="s">
        <v>151</v>
      </c>
      <c r="G153" s="656"/>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7"/>
      <c r="AK153" s="447" t="str">
        <f>IF(AI150="該当",IF(AND(COUNTIF(AM154:AM157,TRUE)&gt;=1,COUNTIF(AM158:AM161,TRUE)&gt;=1,COUNTIF(AM162:AM165,TRUE)&gt;=1,COUNTIF(AM166:AM169,TRUE)&gt;=1,COUNTIF(AM170:AM173,TRUE)&gt;=1,COUNTIF(AM174:AM177,TRUE)&gt;=1),"○","×"),IF(COUNTIF(AM154:AM177,TRUE)&gt;=1,"○","×"))</f>
        <v>○</v>
      </c>
      <c r="AL153" s="254"/>
      <c r="AM153" s="448" t="s">
        <v>2247</v>
      </c>
      <c r="AN153" s="623" t="s">
        <v>2155</v>
      </c>
      <c r="AO153" s="624"/>
      <c r="AP153" s="624"/>
      <c r="AQ153" s="624"/>
      <c r="AR153" s="624"/>
      <c r="AS153" s="624"/>
      <c r="AT153" s="624"/>
      <c r="AU153" s="624"/>
      <c r="AV153" s="624"/>
      <c r="AW153" s="624"/>
      <c r="AX153" s="624"/>
      <c r="AY153" s="624"/>
      <c r="AZ153" s="624"/>
      <c r="BA153" s="624"/>
      <c r="BB153" s="624"/>
      <c r="BC153" s="625"/>
    </row>
    <row r="154" spans="1:55" s="255" customFormat="1" ht="14.25" customHeight="1" thickBot="1">
      <c r="A154" s="254"/>
      <c r="B154" s="626" t="s">
        <v>152</v>
      </c>
      <c r="C154" s="627"/>
      <c r="D154" s="627"/>
      <c r="E154" s="628"/>
      <c r="F154" s="449"/>
      <c r="G154" s="645" t="s">
        <v>153</v>
      </c>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6"/>
      <c r="AL154" s="254"/>
      <c r="AM154" s="159" t="b">
        <v>0</v>
      </c>
    </row>
    <row r="155" spans="1:55" s="255" customFormat="1" ht="13.5" customHeight="1">
      <c r="A155" s="254"/>
      <c r="B155" s="629"/>
      <c r="C155" s="630"/>
      <c r="D155" s="630"/>
      <c r="E155" s="631"/>
      <c r="F155" s="450"/>
      <c r="G155" s="643" t="s">
        <v>154</v>
      </c>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451"/>
      <c r="AL155" s="254"/>
      <c r="AM155" s="159" t="b">
        <v>0</v>
      </c>
      <c r="AN155" s="609" t="s">
        <v>2156</v>
      </c>
      <c r="AO155" s="610"/>
      <c r="AP155" s="610"/>
      <c r="AQ155" s="610"/>
      <c r="AR155" s="610"/>
      <c r="AS155" s="610"/>
      <c r="AT155" s="610"/>
      <c r="AU155" s="610"/>
      <c r="AV155" s="610"/>
      <c r="AW155" s="610"/>
      <c r="AX155" s="610"/>
      <c r="AY155" s="610"/>
      <c r="AZ155" s="610"/>
      <c r="BA155" s="610"/>
      <c r="BB155" s="610"/>
      <c r="BC155" s="611"/>
    </row>
    <row r="156" spans="1:55" s="255" customFormat="1" ht="13.5" customHeight="1" thickBot="1">
      <c r="A156" s="254"/>
      <c r="B156" s="629"/>
      <c r="C156" s="630"/>
      <c r="D156" s="630"/>
      <c r="E156" s="631"/>
      <c r="F156" s="450"/>
      <c r="G156" s="643" t="s">
        <v>155</v>
      </c>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451"/>
      <c r="AL156" s="254"/>
      <c r="AM156" s="159" t="b">
        <v>0</v>
      </c>
      <c r="AN156" s="612"/>
      <c r="AO156" s="613"/>
      <c r="AP156" s="613"/>
      <c r="AQ156" s="613"/>
      <c r="AR156" s="613"/>
      <c r="AS156" s="613"/>
      <c r="AT156" s="613"/>
      <c r="AU156" s="613"/>
      <c r="AV156" s="613"/>
      <c r="AW156" s="613"/>
      <c r="AX156" s="613"/>
      <c r="AY156" s="613"/>
      <c r="AZ156" s="613"/>
      <c r="BA156" s="613"/>
      <c r="BB156" s="613"/>
      <c r="BC156" s="614"/>
    </row>
    <row r="157" spans="1:55" s="255" customFormat="1" ht="13.5" customHeight="1">
      <c r="A157" s="254"/>
      <c r="B157" s="632"/>
      <c r="C157" s="633"/>
      <c r="D157" s="633"/>
      <c r="E157" s="634"/>
      <c r="F157" s="452"/>
      <c r="G157" s="647" t="s">
        <v>156</v>
      </c>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453"/>
      <c r="AL157" s="254"/>
      <c r="AM157" s="159" t="b">
        <v>1</v>
      </c>
    </row>
    <row r="158" spans="1:55" s="255" customFormat="1" ht="24.75" customHeight="1" thickBot="1">
      <c r="A158" s="254"/>
      <c r="B158" s="626" t="s">
        <v>157</v>
      </c>
      <c r="C158" s="627"/>
      <c r="D158" s="627"/>
      <c r="E158" s="628"/>
      <c r="F158" s="454"/>
      <c r="G158" s="642" t="s">
        <v>158</v>
      </c>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455"/>
      <c r="AL158" s="254"/>
      <c r="AM158" s="159" t="b">
        <v>0</v>
      </c>
    </row>
    <row r="159" spans="1:55" s="255" customFormat="1" ht="13.5" customHeight="1">
      <c r="A159" s="254"/>
      <c r="B159" s="629"/>
      <c r="C159" s="630"/>
      <c r="D159" s="630"/>
      <c r="E159" s="631"/>
      <c r="F159" s="450"/>
      <c r="G159" s="643" t="s">
        <v>159</v>
      </c>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456"/>
      <c r="AL159" s="254"/>
      <c r="AM159" s="159" t="b">
        <v>0</v>
      </c>
      <c r="AN159" s="609" t="s">
        <v>2156</v>
      </c>
      <c r="AO159" s="610"/>
      <c r="AP159" s="610"/>
      <c r="AQ159" s="610"/>
      <c r="AR159" s="610"/>
      <c r="AS159" s="610"/>
      <c r="AT159" s="610"/>
      <c r="AU159" s="610"/>
      <c r="AV159" s="610"/>
      <c r="AW159" s="610"/>
      <c r="AX159" s="610"/>
      <c r="AY159" s="610"/>
      <c r="AZ159" s="610"/>
      <c r="BA159" s="610"/>
      <c r="BB159" s="610"/>
      <c r="BC159" s="611"/>
    </row>
    <row r="160" spans="1:55" s="255" customFormat="1" ht="13.5" customHeight="1" thickBot="1">
      <c r="A160" s="254"/>
      <c r="B160" s="629"/>
      <c r="C160" s="630"/>
      <c r="D160" s="630"/>
      <c r="E160" s="631"/>
      <c r="F160" s="450"/>
      <c r="G160" s="643" t="s">
        <v>160</v>
      </c>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451"/>
      <c r="AL160" s="254"/>
      <c r="AM160" s="159" t="b">
        <v>0</v>
      </c>
      <c r="AN160" s="612"/>
      <c r="AO160" s="613"/>
      <c r="AP160" s="613"/>
      <c r="AQ160" s="613"/>
      <c r="AR160" s="613"/>
      <c r="AS160" s="613"/>
      <c r="AT160" s="613"/>
      <c r="AU160" s="613"/>
      <c r="AV160" s="613"/>
      <c r="AW160" s="613"/>
      <c r="AX160" s="613"/>
      <c r="AY160" s="613"/>
      <c r="AZ160" s="613"/>
      <c r="BA160" s="613"/>
      <c r="BB160" s="613"/>
      <c r="BC160" s="614"/>
    </row>
    <row r="161" spans="1:55" s="255" customFormat="1" ht="13.5" customHeight="1">
      <c r="A161" s="254"/>
      <c r="B161" s="632"/>
      <c r="C161" s="633"/>
      <c r="D161" s="633"/>
      <c r="E161" s="634"/>
      <c r="F161" s="457"/>
      <c r="G161" s="644" t="s">
        <v>161</v>
      </c>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1"/>
      <c r="AL161" s="254"/>
      <c r="AM161" s="159" t="b">
        <v>1</v>
      </c>
    </row>
    <row r="162" spans="1:55" s="255" customFormat="1" ht="13.5" customHeight="1" thickBot="1">
      <c r="A162" s="254"/>
      <c r="B162" s="626" t="s">
        <v>162</v>
      </c>
      <c r="C162" s="627"/>
      <c r="D162" s="627"/>
      <c r="E162" s="628"/>
      <c r="F162" s="458"/>
      <c r="G162" s="642" t="s">
        <v>163</v>
      </c>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456"/>
      <c r="AL162" s="254"/>
      <c r="AM162" s="159" t="b">
        <v>0</v>
      </c>
    </row>
    <row r="163" spans="1:55" s="255" customFormat="1" ht="22.5" customHeight="1">
      <c r="A163" s="254"/>
      <c r="B163" s="629"/>
      <c r="C163" s="630"/>
      <c r="D163" s="630"/>
      <c r="E163" s="631"/>
      <c r="F163" s="450"/>
      <c r="G163" s="643" t="s">
        <v>164</v>
      </c>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451"/>
      <c r="AL163" s="254"/>
      <c r="AM163" s="159" t="b">
        <v>0</v>
      </c>
      <c r="AN163" s="609" t="s">
        <v>2156</v>
      </c>
      <c r="AO163" s="610"/>
      <c r="AP163" s="610"/>
      <c r="AQ163" s="610"/>
      <c r="AR163" s="610"/>
      <c r="AS163" s="610"/>
      <c r="AT163" s="610"/>
      <c r="AU163" s="610"/>
      <c r="AV163" s="610"/>
      <c r="AW163" s="610"/>
      <c r="AX163" s="610"/>
      <c r="AY163" s="610"/>
      <c r="AZ163" s="610"/>
      <c r="BA163" s="610"/>
      <c r="BB163" s="610"/>
      <c r="BC163" s="611"/>
    </row>
    <row r="164" spans="1:55" s="255" customFormat="1" ht="13.5" customHeight="1" thickBot="1">
      <c r="A164" s="254"/>
      <c r="B164" s="629"/>
      <c r="C164" s="630"/>
      <c r="D164" s="630"/>
      <c r="E164" s="631"/>
      <c r="F164" s="450"/>
      <c r="G164" s="643" t="s">
        <v>165</v>
      </c>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451"/>
      <c r="AL164" s="254"/>
      <c r="AM164" s="159" t="b">
        <v>1</v>
      </c>
      <c r="AN164" s="612"/>
      <c r="AO164" s="613"/>
      <c r="AP164" s="613"/>
      <c r="AQ164" s="613"/>
      <c r="AR164" s="613"/>
      <c r="AS164" s="613"/>
      <c r="AT164" s="613"/>
      <c r="AU164" s="613"/>
      <c r="AV164" s="613"/>
      <c r="AW164" s="613"/>
      <c r="AX164" s="613"/>
      <c r="AY164" s="613"/>
      <c r="AZ164" s="613"/>
      <c r="BA164" s="613"/>
      <c r="BB164" s="613"/>
      <c r="BC164" s="614"/>
    </row>
    <row r="165" spans="1:55" s="255" customFormat="1" ht="13.5" customHeight="1">
      <c r="A165" s="254"/>
      <c r="B165" s="632"/>
      <c r="C165" s="633"/>
      <c r="D165" s="633"/>
      <c r="E165" s="634"/>
      <c r="F165" s="452"/>
      <c r="G165" s="639" t="s">
        <v>166</v>
      </c>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459"/>
      <c r="AL165" s="254"/>
      <c r="AM165" s="159" t="b">
        <v>1</v>
      </c>
    </row>
    <row r="166" spans="1:55" s="255" customFormat="1" ht="21" customHeight="1" thickBot="1">
      <c r="A166" s="254"/>
      <c r="B166" s="626" t="s">
        <v>167</v>
      </c>
      <c r="C166" s="627"/>
      <c r="D166" s="627"/>
      <c r="E166" s="628"/>
      <c r="F166" s="454"/>
      <c r="G166" s="640" t="s">
        <v>168</v>
      </c>
      <c r="H166" s="640"/>
      <c r="I166" s="640"/>
      <c r="J166" s="640"/>
      <c r="K166" s="640"/>
      <c r="L166" s="640"/>
      <c r="M166" s="640"/>
      <c r="N166" s="640"/>
      <c r="O166" s="640"/>
      <c r="P166" s="640"/>
      <c r="Q166" s="640"/>
      <c r="R166" s="640"/>
      <c r="S166" s="640"/>
      <c r="T166" s="640"/>
      <c r="U166" s="640"/>
      <c r="V166" s="640"/>
      <c r="W166" s="640"/>
      <c r="X166" s="640"/>
      <c r="Y166" s="640"/>
      <c r="Z166" s="640"/>
      <c r="AA166" s="640"/>
      <c r="AB166" s="640"/>
      <c r="AC166" s="640"/>
      <c r="AD166" s="640"/>
      <c r="AE166" s="640"/>
      <c r="AF166" s="640"/>
      <c r="AG166" s="640"/>
      <c r="AH166" s="640"/>
      <c r="AI166" s="640"/>
      <c r="AJ166" s="640"/>
      <c r="AK166" s="456"/>
      <c r="AL166" s="254"/>
      <c r="AM166" s="159" t="b">
        <v>0</v>
      </c>
    </row>
    <row r="167" spans="1:55" s="255" customFormat="1" ht="13.5" customHeight="1">
      <c r="A167" s="254"/>
      <c r="B167" s="629"/>
      <c r="C167" s="630"/>
      <c r="D167" s="630"/>
      <c r="E167" s="631"/>
      <c r="F167" s="450"/>
      <c r="G167" s="637" t="s">
        <v>169</v>
      </c>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456"/>
      <c r="AL167" s="246"/>
      <c r="AM167" s="159" t="b">
        <v>0</v>
      </c>
      <c r="AN167" s="609" t="s">
        <v>2156</v>
      </c>
      <c r="AO167" s="610"/>
      <c r="AP167" s="610"/>
      <c r="AQ167" s="610"/>
      <c r="AR167" s="610"/>
      <c r="AS167" s="610"/>
      <c r="AT167" s="610"/>
      <c r="AU167" s="610"/>
      <c r="AV167" s="610"/>
      <c r="AW167" s="610"/>
      <c r="AX167" s="610"/>
      <c r="AY167" s="610"/>
      <c r="AZ167" s="610"/>
      <c r="BA167" s="610"/>
      <c r="BB167" s="610"/>
      <c r="BC167" s="611"/>
    </row>
    <row r="168" spans="1:55" s="255" customFormat="1" ht="13.5" customHeight="1" thickBot="1">
      <c r="A168" s="254"/>
      <c r="B168" s="629"/>
      <c r="C168" s="630"/>
      <c r="D168" s="630"/>
      <c r="E168" s="631"/>
      <c r="F168" s="450"/>
      <c r="G168" s="637" t="s">
        <v>170</v>
      </c>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460"/>
      <c r="AL168" s="254"/>
      <c r="AM168" s="159" t="b">
        <v>1</v>
      </c>
      <c r="AN168" s="612"/>
      <c r="AO168" s="613"/>
      <c r="AP168" s="613"/>
      <c r="AQ168" s="613"/>
      <c r="AR168" s="613"/>
      <c r="AS168" s="613"/>
      <c r="AT168" s="613"/>
      <c r="AU168" s="613"/>
      <c r="AV168" s="613"/>
      <c r="AW168" s="613"/>
      <c r="AX168" s="613"/>
      <c r="AY168" s="613"/>
      <c r="AZ168" s="613"/>
      <c r="BA168" s="613"/>
      <c r="BB168" s="613"/>
      <c r="BC168" s="614"/>
    </row>
    <row r="169" spans="1:55" s="255" customFormat="1" ht="13.5" customHeight="1">
      <c r="A169" s="254"/>
      <c r="B169" s="632"/>
      <c r="C169" s="633"/>
      <c r="D169" s="633"/>
      <c r="E169" s="634"/>
      <c r="F169" s="457"/>
      <c r="G169" s="639" t="s">
        <v>171</v>
      </c>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1"/>
      <c r="AL169" s="254"/>
      <c r="AM169" s="159" t="b">
        <v>1</v>
      </c>
    </row>
    <row r="170" spans="1:55" s="255" customFormat="1" ht="13.5" customHeight="1" thickBot="1">
      <c r="A170" s="254"/>
      <c r="B170" s="626" t="s">
        <v>172</v>
      </c>
      <c r="C170" s="627"/>
      <c r="D170" s="627"/>
      <c r="E170" s="628"/>
      <c r="F170" s="458"/>
      <c r="G170" s="635" t="s">
        <v>173</v>
      </c>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456"/>
      <c r="AL170" s="254"/>
      <c r="AM170" s="159" t="b">
        <v>0</v>
      </c>
    </row>
    <row r="171" spans="1:55" s="255" customFormat="1" ht="21" customHeight="1">
      <c r="A171" s="254"/>
      <c r="B171" s="629"/>
      <c r="C171" s="630"/>
      <c r="D171" s="630"/>
      <c r="E171" s="631"/>
      <c r="F171" s="450"/>
      <c r="G171" s="637" t="s">
        <v>174</v>
      </c>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7"/>
      <c r="AK171" s="451"/>
      <c r="AL171" s="254"/>
      <c r="AM171" s="159" t="b">
        <v>1</v>
      </c>
      <c r="AN171" s="609" t="s">
        <v>2156</v>
      </c>
      <c r="AO171" s="610"/>
      <c r="AP171" s="610"/>
      <c r="AQ171" s="610"/>
      <c r="AR171" s="610"/>
      <c r="AS171" s="610"/>
      <c r="AT171" s="610"/>
      <c r="AU171" s="610"/>
      <c r="AV171" s="610"/>
      <c r="AW171" s="610"/>
      <c r="AX171" s="610"/>
      <c r="AY171" s="610"/>
      <c r="AZ171" s="610"/>
      <c r="BA171" s="610"/>
      <c r="BB171" s="610"/>
      <c r="BC171" s="611"/>
    </row>
    <row r="172" spans="1:55" s="255" customFormat="1" ht="13.5" customHeight="1" thickBot="1">
      <c r="A172" s="254"/>
      <c r="B172" s="629"/>
      <c r="C172" s="630"/>
      <c r="D172" s="630"/>
      <c r="E172" s="631"/>
      <c r="F172" s="450"/>
      <c r="G172" s="637" t="s">
        <v>175</v>
      </c>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451"/>
      <c r="AL172" s="254"/>
      <c r="AM172" s="159" t="b">
        <v>0</v>
      </c>
      <c r="AN172" s="612"/>
      <c r="AO172" s="613"/>
      <c r="AP172" s="613"/>
      <c r="AQ172" s="613"/>
      <c r="AR172" s="613"/>
      <c r="AS172" s="613"/>
      <c r="AT172" s="613"/>
      <c r="AU172" s="613"/>
      <c r="AV172" s="613"/>
      <c r="AW172" s="613"/>
      <c r="AX172" s="613"/>
      <c r="AY172" s="613"/>
      <c r="AZ172" s="613"/>
      <c r="BA172" s="613"/>
      <c r="BB172" s="613"/>
      <c r="BC172" s="614"/>
    </row>
    <row r="173" spans="1:55" s="255" customFormat="1" ht="13.5" customHeight="1">
      <c r="A173" s="254"/>
      <c r="B173" s="632"/>
      <c r="C173" s="633"/>
      <c r="D173" s="633"/>
      <c r="E173" s="634"/>
      <c r="F173" s="457"/>
      <c r="G173" s="639" t="s">
        <v>176</v>
      </c>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459"/>
      <c r="AL173" s="254"/>
      <c r="AM173" s="159" t="b">
        <v>0</v>
      </c>
    </row>
    <row r="174" spans="1:55" s="255" customFormat="1" ht="13.5" customHeight="1" thickBot="1">
      <c r="A174" s="254"/>
      <c r="B174" s="626" t="s">
        <v>177</v>
      </c>
      <c r="C174" s="627"/>
      <c r="D174" s="627"/>
      <c r="E174" s="628"/>
      <c r="F174" s="458"/>
      <c r="G174" s="635" t="s">
        <v>178</v>
      </c>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461"/>
      <c r="AM174" s="159" t="b">
        <v>0</v>
      </c>
      <c r="AN174" s="1"/>
      <c r="AO174" s="1"/>
      <c r="AP174" s="1"/>
    </row>
    <row r="175" spans="1:55" ht="13.5" customHeight="1">
      <c r="A175" s="246"/>
      <c r="B175" s="629"/>
      <c r="C175" s="630"/>
      <c r="D175" s="630"/>
      <c r="E175" s="631"/>
      <c r="F175" s="450"/>
      <c r="G175" s="637" t="s">
        <v>179</v>
      </c>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7"/>
      <c r="AK175" s="451"/>
      <c r="AL175" s="254"/>
      <c r="AM175" s="159" t="b">
        <v>0</v>
      </c>
      <c r="AN175" s="609" t="s">
        <v>2156</v>
      </c>
      <c r="AO175" s="610"/>
      <c r="AP175" s="610"/>
      <c r="AQ175" s="610"/>
      <c r="AR175" s="610"/>
      <c r="AS175" s="610"/>
      <c r="AT175" s="610"/>
      <c r="AU175" s="610"/>
      <c r="AV175" s="610"/>
      <c r="AW175" s="610"/>
      <c r="AX175" s="610"/>
      <c r="AY175" s="610"/>
      <c r="AZ175" s="610"/>
      <c r="BA175" s="610"/>
      <c r="BB175" s="610"/>
      <c r="BC175" s="611"/>
    </row>
    <row r="176" spans="1:55" ht="13.5" customHeight="1" thickBot="1">
      <c r="A176" s="246"/>
      <c r="B176" s="629"/>
      <c r="C176" s="630"/>
      <c r="D176" s="630"/>
      <c r="E176" s="631"/>
      <c r="F176" s="450"/>
      <c r="G176" s="637" t="s">
        <v>180</v>
      </c>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451"/>
      <c r="AL176" s="254"/>
      <c r="AM176" s="159" t="b">
        <v>0</v>
      </c>
      <c r="AN176" s="612"/>
      <c r="AO176" s="613"/>
      <c r="AP176" s="613"/>
      <c r="AQ176" s="613"/>
      <c r="AR176" s="613"/>
      <c r="AS176" s="613"/>
      <c r="AT176" s="613"/>
      <c r="AU176" s="613"/>
      <c r="AV176" s="613"/>
      <c r="AW176" s="613"/>
      <c r="AX176" s="613"/>
      <c r="AY176" s="613"/>
      <c r="AZ176" s="613"/>
      <c r="BA176" s="613"/>
      <c r="BB176" s="613"/>
      <c r="BC176" s="614"/>
    </row>
    <row r="177" spans="1:59" ht="13.5" customHeight="1" thickBot="1">
      <c r="A177" s="246"/>
      <c r="B177" s="632"/>
      <c r="C177" s="633"/>
      <c r="D177" s="633"/>
      <c r="E177" s="634"/>
      <c r="F177" s="462"/>
      <c r="G177" s="638" t="s">
        <v>181</v>
      </c>
      <c r="H177" s="638"/>
      <c r="I177" s="638"/>
      <c r="J177" s="638"/>
      <c r="K177" s="638"/>
      <c r="L177" s="638"/>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463"/>
      <c r="AL177" s="246"/>
      <c r="AM177" s="159" t="b">
        <v>1</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01" t="s">
        <v>182</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357"/>
      <c r="AN179" s="468"/>
    </row>
    <row r="180" spans="1:59" s="465" customFormat="1" ht="12.75" customHeight="1" thickBot="1">
      <c r="A180" s="461"/>
      <c r="B180" s="469" t="s">
        <v>32</v>
      </c>
      <c r="C180" s="300" t="s">
        <v>183</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v>
      </c>
      <c r="AL180" s="246"/>
    </row>
    <row r="181" spans="1:59" s="465" customFormat="1" ht="25.5" customHeight="1">
      <c r="A181" s="461"/>
      <c r="B181" s="602" t="s">
        <v>185</v>
      </c>
      <c r="C181" s="603"/>
      <c r="D181" s="603"/>
      <c r="E181" s="604" t="b">
        <v>0</v>
      </c>
      <c r="F181" s="449"/>
      <c r="G181" s="594" t="s">
        <v>2248</v>
      </c>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8"/>
      <c r="AL181" s="254"/>
      <c r="AM181" s="159" t="b">
        <v>1</v>
      </c>
      <c r="AN181" s="609" t="s">
        <v>184</v>
      </c>
      <c r="AO181" s="610"/>
      <c r="AP181" s="610"/>
      <c r="AQ181" s="610"/>
      <c r="AR181" s="610"/>
      <c r="AS181" s="610"/>
      <c r="AT181" s="610"/>
      <c r="AU181" s="610"/>
      <c r="AV181" s="610"/>
      <c r="AW181" s="610"/>
      <c r="AX181" s="610"/>
      <c r="AY181" s="610"/>
      <c r="AZ181" s="610"/>
      <c r="BA181" s="610"/>
      <c r="BB181" s="610"/>
      <c r="BC181" s="611"/>
    </row>
    <row r="182" spans="1:59" s="465" customFormat="1" ht="18.75" customHeight="1" thickBot="1">
      <c r="A182" s="461"/>
      <c r="B182" s="605"/>
      <c r="C182" s="606"/>
      <c r="D182" s="606"/>
      <c r="E182" s="607" t="b">
        <v>0</v>
      </c>
      <c r="F182" s="462"/>
      <c r="G182" s="615" t="s">
        <v>2249</v>
      </c>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6"/>
      <c r="AL182" s="246"/>
      <c r="AM182" s="159" t="b">
        <v>0</v>
      </c>
      <c r="AN182" s="612"/>
      <c r="AO182" s="613"/>
      <c r="AP182" s="613"/>
      <c r="AQ182" s="613"/>
      <c r="AR182" s="613"/>
      <c r="AS182" s="613"/>
      <c r="AT182" s="613"/>
      <c r="AU182" s="613"/>
      <c r="AV182" s="613"/>
      <c r="AW182" s="613"/>
      <c r="AX182" s="613"/>
      <c r="AY182" s="613"/>
      <c r="AZ182" s="613"/>
      <c r="BA182" s="613"/>
      <c r="BB182" s="613"/>
      <c r="BC182" s="614"/>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186</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32</v>
      </c>
      <c r="C185" s="300" t="s">
        <v>187</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617" t="s">
        <v>188</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9"/>
      <c r="AE186" s="620" t="s">
        <v>189</v>
      </c>
      <c r="AF186" s="621"/>
      <c r="AG186" s="621"/>
      <c r="AH186" s="621"/>
      <c r="AI186" s="621"/>
      <c r="AJ186" s="622"/>
      <c r="AK186" s="447" t="str">
        <f>IF(AND(AM187=TRUE,OR(Q20=0,AM188=TRUE),AM189=TRUE,AM190=TRUE,AM191=TRUE,AM192=TRUE),"○","×")</f>
        <v>○</v>
      </c>
      <c r="AL186" s="246"/>
      <c r="AM186" s="623" t="s">
        <v>2157</v>
      </c>
      <c r="AN186" s="624"/>
      <c r="AO186" s="624"/>
      <c r="AP186" s="624"/>
      <c r="AQ186" s="624"/>
      <c r="AR186" s="624"/>
      <c r="AS186" s="624"/>
      <c r="AT186" s="624"/>
      <c r="AU186" s="624"/>
      <c r="AV186" s="624"/>
      <c r="AW186" s="624"/>
      <c r="AX186" s="624"/>
      <c r="AY186" s="624"/>
      <c r="AZ186" s="624"/>
      <c r="BA186" s="624"/>
      <c r="BB186" s="624"/>
      <c r="BC186" s="625"/>
    </row>
    <row r="187" spans="1:59" s="255" customFormat="1" ht="26.25" customHeight="1">
      <c r="A187" s="254"/>
      <c r="B187" s="449"/>
      <c r="C187" s="594" t="s">
        <v>190</v>
      </c>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5"/>
      <c r="AE187" s="596" t="s">
        <v>192</v>
      </c>
      <c r="AF187" s="597"/>
      <c r="AG187" s="597"/>
      <c r="AH187" s="597"/>
      <c r="AI187" s="597"/>
      <c r="AJ187" s="597"/>
      <c r="AK187" s="598"/>
      <c r="AL187" s="246"/>
      <c r="AM187" s="160" t="b">
        <v>1</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599" t="s">
        <v>191</v>
      </c>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600"/>
      <c r="AE188" s="586" t="s">
        <v>192</v>
      </c>
      <c r="AF188" s="587"/>
      <c r="AG188" s="587"/>
      <c r="AH188" s="587"/>
      <c r="AI188" s="587"/>
      <c r="AJ188" s="587"/>
      <c r="AK188" s="588"/>
      <c r="AL188" s="246"/>
      <c r="AM188" s="159" t="b">
        <v>1</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581" t="s">
        <v>193</v>
      </c>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2"/>
      <c r="AE189" s="586" t="s">
        <v>194</v>
      </c>
      <c r="AF189" s="587"/>
      <c r="AG189" s="587"/>
      <c r="AH189" s="587"/>
      <c r="AI189" s="587"/>
      <c r="AJ189" s="587"/>
      <c r="AK189" s="588"/>
      <c r="AL189" s="246"/>
      <c r="AM189" s="159" t="b">
        <v>1</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581" t="s">
        <v>195</v>
      </c>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2"/>
      <c r="AE190" s="583" t="s">
        <v>196</v>
      </c>
      <c r="AF190" s="584"/>
      <c r="AG190" s="584"/>
      <c r="AH190" s="584"/>
      <c r="AI190" s="584"/>
      <c r="AJ190" s="584"/>
      <c r="AK190" s="585"/>
      <c r="AL190" s="246"/>
      <c r="AM190" s="159" t="b">
        <v>1</v>
      </c>
    </row>
    <row r="191" spans="1:59" s="255" customFormat="1" ht="23.25" customHeight="1">
      <c r="A191" s="254"/>
      <c r="B191" s="458"/>
      <c r="C191" s="581" t="s">
        <v>197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2"/>
      <c r="AE191" s="586" t="s">
        <v>198</v>
      </c>
      <c r="AF191" s="587"/>
      <c r="AG191" s="587"/>
      <c r="AH191" s="587"/>
      <c r="AI191" s="587"/>
      <c r="AJ191" s="587"/>
      <c r="AK191" s="588"/>
      <c r="AL191" s="246"/>
      <c r="AM191" s="159" t="b">
        <v>1</v>
      </c>
      <c r="AN191" s="472"/>
      <c r="AO191" s="472"/>
      <c r="AP191" s="472"/>
    </row>
    <row r="192" spans="1:59" s="255" customFormat="1" ht="13.5" customHeight="1" thickBot="1">
      <c r="A192" s="254"/>
      <c r="B192" s="462"/>
      <c r="C192" s="589" t="s">
        <v>199</v>
      </c>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90"/>
      <c r="AE192" s="591" t="s">
        <v>200</v>
      </c>
      <c r="AF192" s="592"/>
      <c r="AG192" s="592"/>
      <c r="AH192" s="592"/>
      <c r="AI192" s="592"/>
      <c r="AJ192" s="592"/>
      <c r="AK192" s="593"/>
      <c r="AL192" s="246"/>
      <c r="AM192" s="159" t="b">
        <v>1</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201</v>
      </c>
      <c r="C194" s="474" t="s">
        <v>202</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201</v>
      </c>
      <c r="C195" s="575" t="s">
        <v>2250</v>
      </c>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576" t="s">
        <v>203</v>
      </c>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57</v>
      </c>
      <c r="D200" s="483"/>
      <c r="E200" s="577">
        <v>6</v>
      </c>
      <c r="F200" s="578"/>
      <c r="G200" s="483" t="s">
        <v>80</v>
      </c>
      <c r="H200" s="577" t="s">
        <v>204</v>
      </c>
      <c r="I200" s="578"/>
      <c r="J200" s="483" t="s">
        <v>205</v>
      </c>
      <c r="K200" s="577" t="s">
        <v>204</v>
      </c>
      <c r="L200" s="578"/>
      <c r="M200" s="483" t="s">
        <v>206</v>
      </c>
      <c r="N200" s="471"/>
      <c r="O200" s="579" t="s">
        <v>22</v>
      </c>
      <c r="P200" s="579"/>
      <c r="Q200" s="579"/>
      <c r="R200" s="580" t="str">
        <f>IF(H7="","",H7)</f>
        <v>○○ケアサービス</v>
      </c>
      <c r="S200" s="580"/>
      <c r="T200" s="580"/>
      <c r="U200" s="580"/>
      <c r="V200" s="580"/>
      <c r="W200" s="580"/>
      <c r="X200" s="580"/>
      <c r="Y200" s="580"/>
      <c r="Z200" s="580"/>
      <c r="AA200" s="580"/>
      <c r="AB200" s="580"/>
      <c r="AC200" s="580"/>
      <c r="AD200" s="580"/>
      <c r="AE200" s="580"/>
      <c r="AF200" s="580"/>
      <c r="AG200" s="580"/>
      <c r="AH200" s="580"/>
      <c r="AI200" s="580"/>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571" t="s">
        <v>207</v>
      </c>
      <c r="P201" s="571"/>
      <c r="Q201" s="571"/>
      <c r="R201" s="572" t="s">
        <v>24</v>
      </c>
      <c r="S201" s="572"/>
      <c r="T201" s="573" t="s">
        <v>25</v>
      </c>
      <c r="U201" s="573"/>
      <c r="V201" s="573"/>
      <c r="W201" s="573"/>
      <c r="X201" s="573"/>
      <c r="Y201" s="574" t="s">
        <v>26</v>
      </c>
      <c r="Z201" s="574"/>
      <c r="AA201" s="573" t="s">
        <v>27</v>
      </c>
      <c r="AB201" s="573"/>
      <c r="AC201" s="573"/>
      <c r="AD201" s="573"/>
      <c r="AE201" s="573"/>
      <c r="AF201" s="573"/>
      <c r="AG201" s="573"/>
      <c r="AH201" s="573"/>
      <c r="AI201" s="573"/>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208</v>
      </c>
      <c r="C204" s="497"/>
      <c r="D204" s="254"/>
      <c r="E204" s="254"/>
      <c r="F204" s="252" t="s">
        <v>209</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2394</v>
      </c>
      <c r="AL204" s="246"/>
      <c r="AM204" s="1"/>
    </row>
    <row r="205" spans="1:59" ht="17.25" customHeight="1">
      <c r="A205" s="246"/>
      <c r="B205" s="503" t="s">
        <v>32</v>
      </c>
      <c r="C205" s="504" t="s">
        <v>2362</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4</v>
      </c>
      <c r="AL205" s="246"/>
    </row>
    <row r="206" spans="1:59" s="338" customFormat="1" ht="12" customHeight="1">
      <c r="A206" s="280"/>
      <c r="B206" s="304" t="s">
        <v>201</v>
      </c>
      <c r="C206" s="475" t="s">
        <v>210</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545" t="s">
        <v>211</v>
      </c>
      <c r="C208" s="545"/>
      <c r="D208" s="545"/>
      <c r="E208" s="545"/>
      <c r="F208" s="545"/>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c r="AK208" s="545"/>
      <c r="AL208" s="246"/>
    </row>
    <row r="209" spans="1:60">
      <c r="A209" s="246"/>
      <c r="B209" s="559" t="s">
        <v>212</v>
      </c>
      <c r="C209" s="562" t="s">
        <v>213</v>
      </c>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4"/>
      <c r="AK209" s="506" t="str">
        <f>Y20</f>
        <v/>
      </c>
      <c r="AL209" s="246"/>
    </row>
    <row r="210" spans="1:60">
      <c r="A210" s="246"/>
      <c r="B210" s="560"/>
      <c r="C210" s="565" t="s">
        <v>214</v>
      </c>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7"/>
      <c r="AK210" s="506" t="str">
        <f>Y21</f>
        <v>×</v>
      </c>
      <c r="AL210" s="246"/>
    </row>
    <row r="211" spans="1:60">
      <c r="A211" s="246"/>
      <c r="B211" s="561"/>
      <c r="C211" s="565" t="s">
        <v>215</v>
      </c>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7"/>
      <c r="AK211" s="506" t="str">
        <f>IF(Y25="○","○",IF(AA25="○","○","×"))</f>
        <v>×</v>
      </c>
      <c r="AL211" s="246"/>
    </row>
    <row r="212" spans="1:60">
      <c r="A212" s="246"/>
      <c r="B212" s="507" t="s">
        <v>216</v>
      </c>
      <c r="C212" s="565" t="s">
        <v>217</v>
      </c>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7"/>
      <c r="AK212" s="506" t="str">
        <f>AB37</f>
        <v>○</v>
      </c>
      <c r="AL212" s="246"/>
    </row>
    <row r="213" spans="1:60">
      <c r="A213" s="246"/>
      <c r="B213" s="508" t="s">
        <v>218</v>
      </c>
      <c r="C213" s="568" t="s">
        <v>219</v>
      </c>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70"/>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545" t="s">
        <v>220</v>
      </c>
      <c r="C215" s="545"/>
      <c r="D215" s="545"/>
      <c r="E215" s="545"/>
      <c r="F215" s="545"/>
      <c r="G215" s="545"/>
      <c r="H215" s="545"/>
      <c r="I215" s="545"/>
      <c r="J215" s="545"/>
      <c r="K215" s="545"/>
      <c r="L215" s="545"/>
      <c r="M215" s="545"/>
      <c r="N215" s="545"/>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246"/>
      <c r="AM215" s="1"/>
    </row>
    <row r="216" spans="1:60" s="465" customFormat="1">
      <c r="A216" s="461"/>
      <c r="B216" s="509" t="s">
        <v>212</v>
      </c>
      <c r="C216" s="546" t="s">
        <v>221</v>
      </c>
      <c r="D216" s="547"/>
      <c r="E216" s="547"/>
      <c r="F216" s="547"/>
      <c r="G216" s="547"/>
      <c r="H216" s="547"/>
      <c r="I216" s="548"/>
      <c r="J216" s="549" t="s">
        <v>222</v>
      </c>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50"/>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541" t="s">
        <v>216</v>
      </c>
      <c r="C217" s="542" t="s">
        <v>223</v>
      </c>
      <c r="D217" s="542"/>
      <c r="E217" s="542"/>
      <c r="F217" s="542"/>
      <c r="G217" s="542"/>
      <c r="H217" s="542"/>
      <c r="I217" s="542"/>
      <c r="J217" s="543" t="s">
        <v>224</v>
      </c>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4"/>
      <c r="AK217" s="506" t="str">
        <f>Z75</f>
        <v>○</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541"/>
      <c r="C218" s="542"/>
      <c r="D218" s="542"/>
      <c r="E218" s="542"/>
      <c r="F218" s="542"/>
      <c r="G218" s="542"/>
      <c r="H218" s="542"/>
      <c r="I218" s="542"/>
      <c r="J218" s="543" t="s">
        <v>225</v>
      </c>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4"/>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541"/>
      <c r="C219" s="542"/>
      <c r="D219" s="542"/>
      <c r="E219" s="542"/>
      <c r="F219" s="542"/>
      <c r="G219" s="542"/>
      <c r="H219" s="542"/>
      <c r="I219" s="542"/>
      <c r="J219" s="549" t="s">
        <v>226</v>
      </c>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50"/>
      <c r="AK219" s="506" t="str">
        <f>AI82</f>
        <v>○</v>
      </c>
      <c r="AL219" s="511"/>
      <c r="AM219" s="1"/>
    </row>
    <row r="220" spans="1:60" s="465" customFormat="1" ht="25.5" customHeight="1">
      <c r="A220" s="461"/>
      <c r="B220" s="541"/>
      <c r="C220" s="542"/>
      <c r="D220" s="542"/>
      <c r="E220" s="542"/>
      <c r="F220" s="542"/>
      <c r="G220" s="542"/>
      <c r="H220" s="542"/>
      <c r="I220" s="542"/>
      <c r="J220" s="543" t="s">
        <v>227</v>
      </c>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4"/>
      <c r="AK220" s="506" t="str">
        <f>AI87</f>
        <v>○</v>
      </c>
      <c r="AL220" s="511"/>
      <c r="AM220" s="1"/>
    </row>
    <row r="221" spans="1:60" s="465" customFormat="1" ht="48.75" customHeight="1">
      <c r="A221" s="461"/>
      <c r="B221" s="541" t="s">
        <v>218</v>
      </c>
      <c r="C221" s="542" t="s">
        <v>229</v>
      </c>
      <c r="D221" s="542"/>
      <c r="E221" s="542"/>
      <c r="F221" s="542"/>
      <c r="G221" s="542"/>
      <c r="H221" s="542"/>
      <c r="I221" s="542"/>
      <c r="J221" s="543" t="s">
        <v>230</v>
      </c>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4"/>
      <c r="AK221" s="506" t="str">
        <f>IF(AI93="該当",IF(AND(OR(T98="○",AK103="○"),OR(T106="○",AK114="○")),"○","×"),"")</f>
        <v>○</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541"/>
      <c r="C222" s="542"/>
      <c r="D222" s="542"/>
      <c r="E222" s="542"/>
      <c r="F222" s="542"/>
      <c r="G222" s="542"/>
      <c r="H222" s="542"/>
      <c r="I222" s="542"/>
      <c r="J222" s="543" t="s">
        <v>231</v>
      </c>
      <c r="K222" s="543"/>
      <c r="L222" s="543"/>
      <c r="M222" s="543"/>
      <c r="N222" s="543"/>
      <c r="O222" s="543"/>
      <c r="P222" s="543"/>
      <c r="Q222" s="543"/>
      <c r="R222" s="543"/>
      <c r="S222" s="543"/>
      <c r="T222" s="543"/>
      <c r="U222" s="543"/>
      <c r="V222" s="543"/>
      <c r="W222" s="543"/>
      <c r="X222" s="543"/>
      <c r="Y222" s="543"/>
      <c r="Z222" s="543"/>
      <c r="AA222" s="543"/>
      <c r="AB222" s="543"/>
      <c r="AC222" s="543"/>
      <c r="AD222" s="543"/>
      <c r="AE222" s="543"/>
      <c r="AF222" s="543"/>
      <c r="AG222" s="543"/>
      <c r="AH222" s="543"/>
      <c r="AI222" s="543"/>
      <c r="AJ222" s="544"/>
      <c r="AK222" s="506" t="str">
        <f>IF(AI95="該当",IF(OR(OR(T98="○",AK103="○"),OR(T106="○",AK114="○")),"○","×"),"")</f>
        <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228</v>
      </c>
      <c r="C223" s="542" t="s">
        <v>232</v>
      </c>
      <c r="D223" s="542"/>
      <c r="E223" s="542"/>
      <c r="F223" s="542"/>
      <c r="G223" s="542"/>
      <c r="H223" s="542"/>
      <c r="I223" s="542"/>
      <c r="J223" s="543" t="s">
        <v>233</v>
      </c>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44"/>
      <c r="AK223" s="506" t="str">
        <f>IF(AM116="","",IF(OR(S118="○",AK125="○"),"○","×"))</f>
        <v>○</v>
      </c>
      <c r="AL223" s="246"/>
      <c r="AM223" s="1"/>
    </row>
    <row r="224" spans="1:60" s="255" customFormat="1" ht="36" customHeight="1">
      <c r="A224" s="254"/>
      <c r="B224" s="507" t="s">
        <v>2363</v>
      </c>
      <c r="C224" s="542" t="s">
        <v>234</v>
      </c>
      <c r="D224" s="542"/>
      <c r="E224" s="542"/>
      <c r="F224" s="542"/>
      <c r="G224" s="542"/>
      <c r="H224" s="542"/>
      <c r="I224" s="542"/>
      <c r="J224" s="543" t="s">
        <v>235</v>
      </c>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4"/>
      <c r="AK224" s="506" t="str">
        <f>IF(OR(AND(AD129&lt;&gt;"×",AD131&lt;&gt;"×"),AK134="○"),"○","×")</f>
        <v>○</v>
      </c>
      <c r="AL224" s="246"/>
      <c r="AM224" s="1"/>
    </row>
    <row r="225" spans="1:60" s="255" customFormat="1">
      <c r="A225" s="254"/>
      <c r="B225" s="507" t="s">
        <v>2364</v>
      </c>
      <c r="C225" s="542" t="s">
        <v>237</v>
      </c>
      <c r="D225" s="542"/>
      <c r="E225" s="542"/>
      <c r="F225" s="542"/>
      <c r="G225" s="542"/>
      <c r="H225" s="542"/>
      <c r="I225" s="542"/>
      <c r="J225" s="549" t="s">
        <v>238</v>
      </c>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50"/>
      <c r="AK225" s="506" t="str">
        <f>IF(AND(S143="",S144=""),"",IF(AND(S143&lt;&gt;"×",S144&lt;&gt;"×"),"○","×"))</f>
        <v>○</v>
      </c>
      <c r="AL225" s="512"/>
      <c r="AM225" s="1"/>
    </row>
    <row r="226" spans="1:60" s="255" customFormat="1">
      <c r="A226" s="254"/>
      <c r="B226" s="541" t="s">
        <v>236</v>
      </c>
      <c r="C226" s="542" t="s">
        <v>239</v>
      </c>
      <c r="D226" s="542"/>
      <c r="E226" s="542"/>
      <c r="F226" s="542"/>
      <c r="G226" s="542"/>
      <c r="H226" s="542"/>
      <c r="I226" s="542"/>
      <c r="J226" s="549" t="s">
        <v>240</v>
      </c>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50"/>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555"/>
      <c r="C227" s="556"/>
      <c r="D227" s="556"/>
      <c r="E227" s="556"/>
      <c r="F227" s="556"/>
      <c r="G227" s="556"/>
      <c r="H227" s="556"/>
      <c r="I227" s="556"/>
      <c r="J227" s="557" t="s">
        <v>241</v>
      </c>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8"/>
      <c r="AK227" s="506" t="str">
        <f>AK180</f>
        <v>○</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545" t="s">
        <v>242</v>
      </c>
      <c r="C229" s="545"/>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246"/>
    </row>
    <row r="230" spans="1:60">
      <c r="A230" s="246"/>
      <c r="B230" s="513" t="s">
        <v>32</v>
      </c>
      <c r="C230" s="551" t="s">
        <v>243</v>
      </c>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2"/>
      <c r="AK230" s="506" t="str">
        <f>AK186</f>
        <v>○</v>
      </c>
      <c r="AL230" s="246"/>
    </row>
    <row r="231" spans="1:60" ht="13.5" customHeight="1">
      <c r="B231" s="514" t="s">
        <v>32</v>
      </c>
      <c r="C231" s="553" t="s">
        <v>2251</v>
      </c>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4"/>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2429</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2430</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8"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8"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8"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8"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8" ht="6" customHeight="1">
      <c r="BX54" s="239"/>
    </row>
    <row r="55" spans="2:88" ht="18" customHeight="1"/>
    <row r="56" spans="2:88"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8"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8"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8"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8"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8"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8"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8"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60" t="s">
        <v>253</v>
      </c>
      <c r="B2" s="1178" t="s">
        <v>254</v>
      </c>
      <c r="C2" s="1179"/>
      <c r="D2" s="1179"/>
      <c r="E2" s="1180"/>
      <c r="F2" s="1181" t="s">
        <v>255</v>
      </c>
      <c r="G2" s="1182"/>
      <c r="H2" s="1183"/>
      <c r="I2" s="1160" t="s">
        <v>256</v>
      </c>
      <c r="J2" s="1162"/>
      <c r="K2" s="1185" t="s">
        <v>257</v>
      </c>
      <c r="L2" s="1186"/>
      <c r="M2" s="1186"/>
      <c r="N2" s="1186"/>
      <c r="O2" s="1186"/>
      <c r="P2" s="1186"/>
      <c r="Q2" s="1186"/>
      <c r="R2" s="1186"/>
      <c r="S2" s="1186"/>
      <c r="T2" s="1186"/>
      <c r="U2" s="1186"/>
      <c r="V2" s="1186"/>
      <c r="W2" s="1186"/>
      <c r="X2" s="1186"/>
      <c r="Y2" s="1186"/>
      <c r="Z2" s="1186"/>
      <c r="AA2" s="1186"/>
      <c r="AB2" s="1187"/>
      <c r="AC2" s="1175" t="s">
        <v>258</v>
      </c>
      <c r="AD2" s="7"/>
      <c r="AE2" s="1160" t="s">
        <v>253</v>
      </c>
      <c r="AF2" s="1160" t="s">
        <v>2269</v>
      </c>
      <c r="AG2" s="1161"/>
      <c r="AH2" s="1162"/>
      <c r="AJ2" s="9" t="s">
        <v>260</v>
      </c>
      <c r="AK2" s="10" t="s">
        <v>260</v>
      </c>
      <c r="AM2" s="11" t="s">
        <v>204</v>
      </c>
      <c r="AO2" s="11" t="s">
        <v>18</v>
      </c>
      <c r="AQ2" s="12" t="s">
        <v>261</v>
      </c>
      <c r="AS2" s="1168" t="s">
        <v>2146</v>
      </c>
      <c r="AT2" s="1171" t="s">
        <v>259</v>
      </c>
    </row>
    <row r="3" spans="1:46" ht="51.75" customHeight="1" thickBot="1">
      <c r="A3" s="1163"/>
      <c r="B3" s="1188" t="s">
        <v>263</v>
      </c>
      <c r="C3" s="1189"/>
      <c r="D3" s="1189"/>
      <c r="E3" s="1190"/>
      <c r="F3" s="1188" t="s">
        <v>264</v>
      </c>
      <c r="G3" s="1189"/>
      <c r="H3" s="1190"/>
      <c r="I3" s="1174"/>
      <c r="J3" s="1184"/>
      <c r="K3" s="1191" t="s">
        <v>265</v>
      </c>
      <c r="L3" s="1192"/>
      <c r="M3" s="1192"/>
      <c r="N3" s="1192"/>
      <c r="O3" s="1192"/>
      <c r="P3" s="1192"/>
      <c r="Q3" s="1192"/>
      <c r="R3" s="1192"/>
      <c r="S3" s="1192"/>
      <c r="T3" s="1192"/>
      <c r="U3" s="1192"/>
      <c r="V3" s="1192"/>
      <c r="W3" s="1192"/>
      <c r="X3" s="1192"/>
      <c r="Y3" s="1192"/>
      <c r="Z3" s="1192"/>
      <c r="AA3" s="1192"/>
      <c r="AB3" s="1193"/>
      <c r="AC3" s="1176"/>
      <c r="AD3" s="7"/>
      <c r="AE3" s="1163"/>
      <c r="AF3" s="1163"/>
      <c r="AG3" s="1164"/>
      <c r="AH3" s="1165"/>
      <c r="AJ3" s="13" t="s">
        <v>266</v>
      </c>
      <c r="AK3" s="14" t="s">
        <v>266</v>
      </c>
      <c r="AM3" s="15"/>
      <c r="AO3" s="15"/>
      <c r="AQ3" s="16" t="s">
        <v>20</v>
      </c>
      <c r="AS3" s="1169"/>
      <c r="AT3" s="1172"/>
    </row>
    <row r="4" spans="1:46" ht="41.25" customHeight="1" thickBot="1">
      <c r="A4" s="1174"/>
      <c r="B4" s="127" t="s">
        <v>9</v>
      </c>
      <c r="C4" s="128" t="s">
        <v>267</v>
      </c>
      <c r="D4" s="128" t="s">
        <v>268</v>
      </c>
      <c r="E4" s="129" t="s">
        <v>269</v>
      </c>
      <c r="F4" s="127" t="s">
        <v>270</v>
      </c>
      <c r="G4" s="130" t="s">
        <v>10</v>
      </c>
      <c r="H4" s="131" t="s">
        <v>13</v>
      </c>
      <c r="I4" s="132" t="s">
        <v>15</v>
      </c>
      <c r="J4" s="131" t="s">
        <v>11</v>
      </c>
      <c r="K4" s="124" t="s">
        <v>271</v>
      </c>
      <c r="L4" s="125" t="s">
        <v>272</v>
      </c>
      <c r="M4" s="125" t="s">
        <v>274</v>
      </c>
      <c r="N4" s="125" t="s">
        <v>276</v>
      </c>
      <c r="O4" s="125" t="s">
        <v>2265</v>
      </c>
      <c r="P4" s="125" t="s">
        <v>2172</v>
      </c>
      <c r="Q4" s="125" t="s">
        <v>2173</v>
      </c>
      <c r="R4" s="125" t="s">
        <v>2174</v>
      </c>
      <c r="S4" s="125" t="s">
        <v>2175</v>
      </c>
      <c r="T4" s="125" t="s">
        <v>2176</v>
      </c>
      <c r="U4" s="125" t="s">
        <v>2177</v>
      </c>
      <c r="V4" s="125" t="s">
        <v>2178</v>
      </c>
      <c r="W4" s="125" t="s">
        <v>2179</v>
      </c>
      <c r="X4" s="125" t="s">
        <v>2180</v>
      </c>
      <c r="Y4" s="125" t="s">
        <v>2181</v>
      </c>
      <c r="Z4" s="125" t="s">
        <v>2182</v>
      </c>
      <c r="AA4" s="125" t="s">
        <v>2183</v>
      </c>
      <c r="AB4" s="126" t="s">
        <v>2184</v>
      </c>
      <c r="AC4" s="1177"/>
      <c r="AD4" s="7"/>
      <c r="AE4" s="1174"/>
      <c r="AF4" s="1163"/>
      <c r="AG4" s="1164"/>
      <c r="AH4" s="1165"/>
      <c r="AJ4" s="13" t="s">
        <v>277</v>
      </c>
      <c r="AK4" s="14" t="s">
        <v>277</v>
      </c>
      <c r="AQ4" s="16" t="s">
        <v>273</v>
      </c>
      <c r="AS4" s="1170"/>
      <c r="AT4" s="1173"/>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0"/>
      <c r="AJ5" s="13" t="s">
        <v>278</v>
      </c>
      <c r="AK5" s="14" t="s">
        <v>279</v>
      </c>
      <c r="AM5" s="11" t="s">
        <v>204</v>
      </c>
      <c r="AQ5" s="16" t="s">
        <v>275</v>
      </c>
      <c r="AS5" s="161" t="s">
        <v>260</v>
      </c>
      <c r="AT5" s="164"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1"/>
      <c r="AJ6" s="13" t="s">
        <v>281</v>
      </c>
      <c r="AK6" s="14" t="s">
        <v>281</v>
      </c>
      <c r="AM6" s="38" t="s">
        <v>282</v>
      </c>
      <c r="AQ6" s="39"/>
      <c r="AS6" s="162" t="s">
        <v>280</v>
      </c>
      <c r="AT6" s="165"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1"/>
      <c r="AJ7" s="13" t="s">
        <v>284</v>
      </c>
      <c r="AK7" s="14" t="s">
        <v>284</v>
      </c>
      <c r="AM7" s="15"/>
      <c r="AS7" s="162" t="s">
        <v>283</v>
      </c>
      <c r="AT7" s="165"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1"/>
      <c r="AJ8" s="13" t="s">
        <v>285</v>
      </c>
      <c r="AK8" s="14" t="s">
        <v>286</v>
      </c>
      <c r="AS8" s="162" t="s">
        <v>278</v>
      </c>
      <c r="AT8" s="165"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1"/>
      <c r="AJ9" s="13" t="s">
        <v>287</v>
      </c>
      <c r="AK9" s="14" t="s">
        <v>288</v>
      </c>
      <c r="AS9" s="162" t="s">
        <v>281</v>
      </c>
      <c r="AT9" s="165"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2" t="s">
        <v>284</v>
      </c>
      <c r="AT10" s="165"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1"/>
      <c r="AJ11" s="13" t="s">
        <v>290</v>
      </c>
      <c r="AK11" s="14" t="s">
        <v>291</v>
      </c>
      <c r="AS11" s="162" t="s">
        <v>285</v>
      </c>
      <c r="AT11" s="165"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2" t="s">
        <v>287</v>
      </c>
      <c r="AT12" s="165"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2" t="s">
        <v>289</v>
      </c>
      <c r="AT13" s="165"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1"/>
      <c r="AJ14" s="13" t="s">
        <v>295</v>
      </c>
      <c r="AK14" s="14" t="s">
        <v>296</v>
      </c>
      <c r="AS14" s="162" t="s">
        <v>290</v>
      </c>
      <c r="AT14" s="165"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1"/>
      <c r="AJ15" s="13" t="s">
        <v>297</v>
      </c>
      <c r="AK15" s="14" t="s">
        <v>297</v>
      </c>
      <c r="AS15" s="162" t="s">
        <v>292</v>
      </c>
      <c r="AT15" s="165"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1"/>
      <c r="AJ16" s="13" t="s">
        <v>298</v>
      </c>
      <c r="AK16" s="14" t="s">
        <v>298</v>
      </c>
      <c r="AS16" s="162" t="s">
        <v>294</v>
      </c>
      <c r="AT16" s="165"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1"/>
      <c r="AJ17" s="13" t="s">
        <v>299</v>
      </c>
      <c r="AK17" s="14" t="s">
        <v>300</v>
      </c>
      <c r="AS17" s="162" t="s">
        <v>295</v>
      </c>
      <c r="AT17" s="165"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2" t="s">
        <v>297</v>
      </c>
      <c r="AT18" s="165"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2" t="s">
        <v>298</v>
      </c>
      <c r="AT19" s="165"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2" t="s">
        <v>299</v>
      </c>
      <c r="AT20" s="165"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1"/>
      <c r="AJ21" s="13" t="s">
        <v>306</v>
      </c>
      <c r="AK21" s="14" t="s">
        <v>306</v>
      </c>
      <c r="AS21" s="162" t="s">
        <v>301</v>
      </c>
      <c r="AT21" s="165"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2" t="s">
        <v>302</v>
      </c>
      <c r="AT22" s="165"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2" t="s">
        <v>304</v>
      </c>
      <c r="AT23" s="165"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1"/>
      <c r="AJ24" s="40" t="s">
        <v>311</v>
      </c>
      <c r="AK24" s="41" t="s">
        <v>312</v>
      </c>
      <c r="AS24" s="162" t="s">
        <v>306</v>
      </c>
      <c r="AT24" s="165"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6" t="s">
        <v>2273</v>
      </c>
      <c r="AH25" s="45" t="s">
        <v>2365</v>
      </c>
      <c r="AS25" s="162" t="s">
        <v>307</v>
      </c>
      <c r="AT25" s="165"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2" t="s">
        <v>2366</v>
      </c>
      <c r="AG26" s="137" t="s">
        <v>2367</v>
      </c>
      <c r="AH26" s="140"/>
      <c r="AS26" s="162" t="s">
        <v>309</v>
      </c>
      <c r="AT26" s="165"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3" t="s">
        <v>2368</v>
      </c>
      <c r="AS27" s="163" t="s">
        <v>311</v>
      </c>
      <c r="AT27" s="166" t="s">
        <v>2397</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66" t="s">
        <v>2279</v>
      </c>
      <c r="AF29" s="1166"/>
      <c r="AG29" s="1166"/>
      <c r="AH29" s="1166"/>
    </row>
    <row r="30" spans="1:46" ht="18.75" customHeight="1">
      <c r="K30" s="7"/>
      <c r="L30" s="7"/>
      <c r="M30" s="7"/>
      <c r="N30" s="7"/>
      <c r="O30" s="7"/>
      <c r="P30" s="7"/>
      <c r="Q30" s="7"/>
      <c r="R30" s="7"/>
      <c r="S30" s="7"/>
      <c r="T30" s="7"/>
      <c r="U30" s="7"/>
      <c r="V30" s="7"/>
      <c r="W30" s="7"/>
      <c r="X30" s="7"/>
      <c r="Y30" s="7"/>
      <c r="Z30" s="7"/>
      <c r="AA30" s="7"/>
      <c r="AB30" s="7"/>
      <c r="AC30" s="7"/>
      <c r="AD30" s="7"/>
      <c r="AE30" s="1167" t="s">
        <v>2280</v>
      </c>
      <c r="AF30" s="1167"/>
      <c r="AG30" s="1167"/>
      <c r="AH30" s="1167"/>
    </row>
    <row r="31" spans="1:46">
      <c r="K31" s="7"/>
      <c r="L31" s="7"/>
      <c r="M31" s="7"/>
      <c r="N31" s="7"/>
      <c r="O31" s="7"/>
      <c r="P31" s="7"/>
      <c r="Q31" s="7"/>
      <c r="R31" s="7"/>
      <c r="S31" s="7"/>
      <c r="T31" s="7"/>
      <c r="U31" s="7"/>
      <c r="V31" s="7"/>
      <c r="W31" s="7"/>
      <c r="X31" s="7"/>
      <c r="Y31" s="7"/>
      <c r="Z31" s="7"/>
      <c r="AA31" s="7"/>
      <c r="AB31" s="7"/>
      <c r="AC31" s="7"/>
      <c r="AD31" s="7"/>
      <c r="AE31" s="1167"/>
      <c r="AF31" s="1167"/>
      <c r="AG31" s="1167"/>
      <c r="AH31" s="116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252</v>
      </c>
      <c r="C2" s="103"/>
      <c r="D2" s="103"/>
      <c r="E2" s="103"/>
      <c r="F2" s="103"/>
      <c r="G2" s="103"/>
      <c r="H2" s="92"/>
      <c r="I2" s="103"/>
      <c r="J2" s="104"/>
      <c r="K2" s="103"/>
      <c r="L2" s="105"/>
      <c r="M2" s="93"/>
      <c r="N2" s="93"/>
      <c r="O2" s="93"/>
      <c r="P2" s="93"/>
      <c r="Q2" s="93"/>
      <c r="R2" s="93"/>
      <c r="S2" s="93"/>
    </row>
    <row r="3" spans="2:19" ht="18.75" customHeight="1">
      <c r="B3" s="1196" t="s">
        <v>254</v>
      </c>
      <c r="C3" s="1195" t="s">
        <v>255</v>
      </c>
      <c r="D3" s="1195" t="s">
        <v>256</v>
      </c>
      <c r="E3" s="1195" t="s">
        <v>262</v>
      </c>
      <c r="F3" s="1197" t="s">
        <v>2215</v>
      </c>
      <c r="G3" s="1195" t="s">
        <v>2260</v>
      </c>
      <c r="H3" s="1195"/>
      <c r="I3" s="1195" t="s">
        <v>2261</v>
      </c>
      <c r="J3" s="1195"/>
      <c r="K3" s="1195" t="s">
        <v>2262</v>
      </c>
      <c r="L3" s="1195"/>
      <c r="M3" s="1194" t="s">
        <v>2185</v>
      </c>
      <c r="N3" s="1194" t="s">
        <v>2186</v>
      </c>
      <c r="O3" s="1194" t="s">
        <v>2187</v>
      </c>
      <c r="P3" s="1194" t="s">
        <v>2188</v>
      </c>
      <c r="Q3" s="1194" t="s">
        <v>2189</v>
      </c>
      <c r="R3" s="1194" t="s">
        <v>2190</v>
      </c>
      <c r="S3" s="1194" t="s">
        <v>2191</v>
      </c>
    </row>
    <row r="4" spans="2:19">
      <c r="B4" s="1196"/>
      <c r="C4" s="1195"/>
      <c r="D4" s="1195"/>
      <c r="E4" s="1195"/>
      <c r="F4" s="1198"/>
      <c r="G4" s="1195"/>
      <c r="H4" s="1195"/>
      <c r="I4" s="1195"/>
      <c r="J4" s="1195"/>
      <c r="K4" s="1195"/>
      <c r="L4" s="1195"/>
      <c r="M4" s="1194"/>
      <c r="N4" s="1194"/>
      <c r="O4" s="1194"/>
      <c r="P4" s="1194"/>
      <c r="Q4" s="1194"/>
      <c r="R4" s="1194"/>
      <c r="S4" s="1194"/>
    </row>
    <row r="5" spans="2:19">
      <c r="B5" s="1196"/>
      <c r="C5" s="1195"/>
      <c r="D5" s="1195"/>
      <c r="E5" s="1195"/>
      <c r="F5" s="1199"/>
      <c r="G5" s="1195"/>
      <c r="H5" s="1195"/>
      <c r="I5" s="1195"/>
      <c r="J5" s="1195"/>
      <c r="K5" s="1195"/>
      <c r="L5" s="1195"/>
      <c r="M5" s="1194"/>
      <c r="N5" s="1194"/>
      <c r="O5" s="1194"/>
      <c r="P5" s="1194"/>
      <c r="Q5" s="1194"/>
      <c r="R5" s="1194"/>
      <c r="S5" s="1194"/>
    </row>
    <row r="6" spans="2:19" ht="48" customHeight="1">
      <c r="B6" s="94" t="s">
        <v>9</v>
      </c>
      <c r="C6" s="106" t="s">
        <v>270</v>
      </c>
      <c r="D6" s="107" t="s">
        <v>15</v>
      </c>
      <c r="E6" s="107" t="str">
        <f t="shared" ref="E6:E23" si="0">B6&amp;C6&amp;D6</f>
        <v>処遇加算Ⅰ特定加算Ⅰベア加算</v>
      </c>
      <c r="F6" s="107" t="s">
        <v>2212</v>
      </c>
      <c r="G6" s="108" t="s">
        <v>2212</v>
      </c>
      <c r="H6" s="109" t="s">
        <v>2320</v>
      </c>
      <c r="I6" s="108"/>
      <c r="J6" s="110" t="s">
        <v>2216</v>
      </c>
      <c r="K6" s="108"/>
      <c r="L6" s="111" t="s">
        <v>2216</v>
      </c>
      <c r="M6" s="156" t="s">
        <v>2169</v>
      </c>
      <c r="N6" s="156" t="s">
        <v>2169</v>
      </c>
      <c r="O6" s="156" t="s">
        <v>2169</v>
      </c>
      <c r="P6" s="156" t="s">
        <v>2169</v>
      </c>
      <c r="Q6" s="156" t="s">
        <v>2169</v>
      </c>
      <c r="R6" s="156" t="s">
        <v>2169</v>
      </c>
      <c r="S6" s="156" t="s">
        <v>2169</v>
      </c>
    </row>
    <row r="7" spans="2:19" ht="48" customHeight="1">
      <c r="B7" s="94" t="s">
        <v>9</v>
      </c>
      <c r="C7" s="106" t="s">
        <v>270</v>
      </c>
      <c r="D7" s="107" t="s">
        <v>11</v>
      </c>
      <c r="E7" s="107" t="str">
        <f t="shared" si="0"/>
        <v>処遇加算Ⅰ特定加算Ⅰベア加算なし</v>
      </c>
      <c r="F7" s="107" t="s">
        <v>2265</v>
      </c>
      <c r="G7" s="108" t="s">
        <v>2212</v>
      </c>
      <c r="H7" s="109" t="s">
        <v>2296</v>
      </c>
      <c r="I7" s="108" t="s">
        <v>2171</v>
      </c>
      <c r="J7" s="110" t="s">
        <v>2299</v>
      </c>
      <c r="K7" s="112"/>
      <c r="L7" s="113"/>
      <c r="M7" s="156" t="s">
        <v>2324</v>
      </c>
      <c r="N7" s="156" t="s">
        <v>2169</v>
      </c>
      <c r="O7" s="156" t="s">
        <v>2169</v>
      </c>
      <c r="P7" s="156" t="s">
        <v>2169</v>
      </c>
      <c r="Q7" s="156" t="s">
        <v>2169</v>
      </c>
      <c r="R7" s="156" t="s">
        <v>2169</v>
      </c>
      <c r="S7" s="156" t="s">
        <v>2169</v>
      </c>
    </row>
    <row r="8" spans="2:19" ht="48" customHeight="1">
      <c r="B8" s="94" t="s">
        <v>267</v>
      </c>
      <c r="C8" s="106" t="s">
        <v>270</v>
      </c>
      <c r="D8" s="107" t="s">
        <v>15</v>
      </c>
      <c r="E8" s="107" t="str">
        <f t="shared" si="0"/>
        <v>処遇加算Ⅱ特定加算Ⅰベア加算</v>
      </c>
      <c r="F8" s="108" t="s">
        <v>2172</v>
      </c>
      <c r="G8" s="108" t="s">
        <v>2212</v>
      </c>
      <c r="H8" s="109" t="s">
        <v>2412</v>
      </c>
      <c r="I8" s="108" t="s">
        <v>2172</v>
      </c>
      <c r="J8" s="114" t="s">
        <v>2301</v>
      </c>
      <c r="K8" s="158"/>
      <c r="L8" s="155"/>
      <c r="M8" s="157" t="s">
        <v>2169</v>
      </c>
      <c r="N8" s="156" t="s">
        <v>2169</v>
      </c>
      <c r="O8" s="156" t="s">
        <v>2169</v>
      </c>
      <c r="P8" s="156" t="s">
        <v>2323</v>
      </c>
      <c r="Q8" s="156" t="s">
        <v>2169</v>
      </c>
      <c r="R8" s="156" t="s">
        <v>2169</v>
      </c>
      <c r="S8" s="156" t="s">
        <v>2169</v>
      </c>
    </row>
    <row r="9" spans="2:19" ht="48" customHeight="1">
      <c r="B9" s="94" t="s">
        <v>267</v>
      </c>
      <c r="C9" s="106" t="s">
        <v>270</v>
      </c>
      <c r="D9" s="107" t="s">
        <v>11</v>
      </c>
      <c r="E9" s="107" t="str">
        <f t="shared" si="0"/>
        <v>処遇加算Ⅱ特定加算Ⅰベア加算なし</v>
      </c>
      <c r="F9" s="108" t="s">
        <v>2175</v>
      </c>
      <c r="G9" s="108" t="s">
        <v>2212</v>
      </c>
      <c r="H9" s="109" t="s">
        <v>2411</v>
      </c>
      <c r="I9" s="108" t="s">
        <v>2171</v>
      </c>
      <c r="J9" s="115" t="s">
        <v>2410</v>
      </c>
      <c r="K9" s="116" t="s">
        <v>2175</v>
      </c>
      <c r="L9" s="117" t="s">
        <v>2316</v>
      </c>
      <c r="M9" s="156" t="s">
        <v>2324</v>
      </c>
      <c r="N9" s="156" t="s">
        <v>2169</v>
      </c>
      <c r="O9" s="156" t="s">
        <v>2169</v>
      </c>
      <c r="P9" s="156" t="s">
        <v>2323</v>
      </c>
      <c r="Q9" s="156" t="s">
        <v>2169</v>
      </c>
      <c r="R9" s="156" t="s">
        <v>2169</v>
      </c>
      <c r="S9" s="156" t="s">
        <v>2169</v>
      </c>
    </row>
    <row r="10" spans="2:19" ht="48" customHeight="1">
      <c r="B10" s="94" t="s">
        <v>268</v>
      </c>
      <c r="C10" s="106" t="s">
        <v>270</v>
      </c>
      <c r="D10" s="107" t="s">
        <v>15</v>
      </c>
      <c r="E10" s="107" t="str">
        <f t="shared" si="0"/>
        <v>処遇加算Ⅲ特定加算Ⅰベア加算</v>
      </c>
      <c r="F10" s="108" t="s">
        <v>2177</v>
      </c>
      <c r="G10" s="108" t="s">
        <v>2212</v>
      </c>
      <c r="H10" s="109" t="s">
        <v>2413</v>
      </c>
      <c r="I10" s="108" t="s">
        <v>2177</v>
      </c>
      <c r="J10" s="114" t="s">
        <v>2302</v>
      </c>
      <c r="K10" s="158"/>
      <c r="L10" s="155"/>
      <c r="M10" s="157" t="s">
        <v>2169</v>
      </c>
      <c r="N10" s="156" t="s">
        <v>2325</v>
      </c>
      <c r="O10" s="156" t="s">
        <v>2256</v>
      </c>
      <c r="P10" s="156" t="s">
        <v>2169</v>
      </c>
      <c r="Q10" s="156" t="s">
        <v>2169</v>
      </c>
      <c r="R10" s="156" t="s">
        <v>2169</v>
      </c>
      <c r="S10" s="156" t="s">
        <v>2169</v>
      </c>
    </row>
    <row r="11" spans="2:19" ht="48" customHeight="1">
      <c r="B11" s="94" t="s">
        <v>268</v>
      </c>
      <c r="C11" s="106" t="s">
        <v>270</v>
      </c>
      <c r="D11" s="107" t="s">
        <v>11</v>
      </c>
      <c r="E11" s="107" t="str">
        <f t="shared" si="0"/>
        <v>処遇加算Ⅲ特定加算Ⅰベア加算なし</v>
      </c>
      <c r="F11" s="108" t="s">
        <v>2180</v>
      </c>
      <c r="G11" s="108" t="s">
        <v>2212</v>
      </c>
      <c r="H11" s="109" t="s">
        <v>2409</v>
      </c>
      <c r="I11" s="108" t="s">
        <v>2171</v>
      </c>
      <c r="J11" s="115" t="s">
        <v>2408</v>
      </c>
      <c r="K11" s="116" t="s">
        <v>2180</v>
      </c>
      <c r="L11" s="150" t="s">
        <v>2303</v>
      </c>
      <c r="M11" s="156" t="s">
        <v>2324</v>
      </c>
      <c r="N11" s="156" t="s">
        <v>2325</v>
      </c>
      <c r="O11" s="156" t="s">
        <v>2256</v>
      </c>
      <c r="P11" s="156" t="s">
        <v>2169</v>
      </c>
      <c r="Q11" s="156" t="s">
        <v>2169</v>
      </c>
      <c r="R11" s="156" t="s">
        <v>2169</v>
      </c>
      <c r="S11" s="156" t="s">
        <v>2169</v>
      </c>
    </row>
    <row r="12" spans="2:19" ht="48" customHeight="1">
      <c r="B12" s="94" t="s">
        <v>9</v>
      </c>
      <c r="C12" s="106" t="s">
        <v>10</v>
      </c>
      <c r="D12" s="107" t="s">
        <v>15</v>
      </c>
      <c r="E12" s="107" t="str">
        <f t="shared" si="0"/>
        <v>処遇加算Ⅰ特定加算Ⅱベア加算</v>
      </c>
      <c r="F12" s="107" t="s">
        <v>2225</v>
      </c>
      <c r="G12" s="108" t="s">
        <v>2213</v>
      </c>
      <c r="H12" s="109" t="s">
        <v>2319</v>
      </c>
      <c r="I12" s="108"/>
      <c r="J12" s="115"/>
      <c r="K12" s="116"/>
      <c r="L12" s="117"/>
      <c r="M12" s="157" t="s">
        <v>2169</v>
      </c>
      <c r="N12" s="156" t="s">
        <v>2169</v>
      </c>
      <c r="O12" s="156" t="s">
        <v>2169</v>
      </c>
      <c r="P12" s="156" t="s">
        <v>2169</v>
      </c>
      <c r="Q12" s="156" t="s">
        <v>2169</v>
      </c>
      <c r="R12" s="156" t="s">
        <v>2169</v>
      </c>
      <c r="S12" s="156" t="s">
        <v>2169</v>
      </c>
    </row>
    <row r="13" spans="2:19" ht="48" customHeight="1">
      <c r="B13" s="94" t="s">
        <v>9</v>
      </c>
      <c r="C13" s="106" t="s">
        <v>10</v>
      </c>
      <c r="D13" s="107" t="s">
        <v>11</v>
      </c>
      <c r="E13" s="107" t="str">
        <f t="shared" si="0"/>
        <v>処遇加算Ⅰ特定加算Ⅱベア加算なし</v>
      </c>
      <c r="F13" s="107" t="s">
        <v>2267</v>
      </c>
      <c r="G13" s="108" t="s">
        <v>2213</v>
      </c>
      <c r="H13" s="109" t="s">
        <v>2297</v>
      </c>
      <c r="I13" s="108" t="s">
        <v>2173</v>
      </c>
      <c r="J13" s="151" t="s">
        <v>2300</v>
      </c>
      <c r="K13" s="116"/>
      <c r="L13" s="117"/>
      <c r="M13" s="156" t="s">
        <v>2324</v>
      </c>
      <c r="N13" s="156" t="s">
        <v>2169</v>
      </c>
      <c r="O13" s="156" t="s">
        <v>2169</v>
      </c>
      <c r="P13" s="156" t="s">
        <v>2169</v>
      </c>
      <c r="Q13" s="156" t="s">
        <v>2169</v>
      </c>
      <c r="R13" s="156" t="s">
        <v>2169</v>
      </c>
      <c r="S13" s="156" t="s">
        <v>2169</v>
      </c>
    </row>
    <row r="14" spans="2:19" ht="48" customHeight="1">
      <c r="B14" s="94" t="s">
        <v>267</v>
      </c>
      <c r="C14" s="106" t="s">
        <v>10</v>
      </c>
      <c r="D14" s="107" t="s">
        <v>15</v>
      </c>
      <c r="E14" s="107" t="str">
        <f t="shared" si="0"/>
        <v>処遇加算Ⅱ特定加算Ⅱベア加算</v>
      </c>
      <c r="F14" s="108" t="s">
        <v>2174</v>
      </c>
      <c r="G14" s="108" t="s">
        <v>2213</v>
      </c>
      <c r="H14" s="109" t="s">
        <v>2414</v>
      </c>
      <c r="I14" s="108" t="s">
        <v>2174</v>
      </c>
      <c r="J14" s="114" t="s">
        <v>2304</v>
      </c>
      <c r="K14" s="158"/>
      <c r="L14" s="155"/>
      <c r="M14" s="156" t="s">
        <v>2169</v>
      </c>
      <c r="N14" s="156" t="s">
        <v>2169</v>
      </c>
      <c r="O14" s="156" t="s">
        <v>2169</v>
      </c>
      <c r="P14" s="156" t="s">
        <v>2323</v>
      </c>
      <c r="Q14" s="156" t="s">
        <v>2169</v>
      </c>
      <c r="R14" s="156" t="s">
        <v>2169</v>
      </c>
      <c r="S14" s="156" t="s">
        <v>2169</v>
      </c>
    </row>
    <row r="15" spans="2:19" ht="48" customHeight="1">
      <c r="B15" s="94" t="s">
        <v>267</v>
      </c>
      <c r="C15" s="106" t="s">
        <v>10</v>
      </c>
      <c r="D15" s="107" t="s">
        <v>11</v>
      </c>
      <c r="E15" s="107" t="str">
        <f t="shared" si="0"/>
        <v>処遇加算Ⅱ特定加算Ⅱベア加算なし</v>
      </c>
      <c r="F15" s="108" t="s">
        <v>2176</v>
      </c>
      <c r="G15" s="108" t="s">
        <v>2213</v>
      </c>
      <c r="H15" s="109" t="s">
        <v>2405</v>
      </c>
      <c r="I15" s="108" t="s">
        <v>2173</v>
      </c>
      <c r="J15" s="115" t="s">
        <v>2404</v>
      </c>
      <c r="K15" s="116" t="s">
        <v>2176</v>
      </c>
      <c r="L15" s="117" t="s">
        <v>2305</v>
      </c>
      <c r="M15" s="156" t="s">
        <v>2324</v>
      </c>
      <c r="N15" s="156" t="s">
        <v>2169</v>
      </c>
      <c r="O15" s="156" t="s">
        <v>2169</v>
      </c>
      <c r="P15" s="156" t="s">
        <v>2323</v>
      </c>
      <c r="Q15" s="156" t="s">
        <v>2169</v>
      </c>
      <c r="R15" s="156" t="s">
        <v>2169</v>
      </c>
      <c r="S15" s="156" t="s">
        <v>2169</v>
      </c>
    </row>
    <row r="16" spans="2:19" ht="48" customHeight="1">
      <c r="B16" s="94" t="s">
        <v>268</v>
      </c>
      <c r="C16" s="106" t="s">
        <v>10</v>
      </c>
      <c r="D16" s="107" t="s">
        <v>15</v>
      </c>
      <c r="E16" s="107" t="str">
        <f t="shared" si="0"/>
        <v>処遇加算Ⅲ特定加算Ⅱベア加算</v>
      </c>
      <c r="F16" s="108" t="s">
        <v>2179</v>
      </c>
      <c r="G16" s="108" t="s">
        <v>2213</v>
      </c>
      <c r="H16" s="149" t="s">
        <v>2415</v>
      </c>
      <c r="I16" s="108" t="s">
        <v>2179</v>
      </c>
      <c r="J16" s="151" t="s">
        <v>2307</v>
      </c>
      <c r="K16" s="158"/>
      <c r="L16" s="155"/>
      <c r="M16" s="157" t="s">
        <v>2169</v>
      </c>
      <c r="N16" s="156" t="s">
        <v>2325</v>
      </c>
      <c r="O16" s="156" t="s">
        <v>2256</v>
      </c>
      <c r="P16" s="156" t="s">
        <v>2169</v>
      </c>
      <c r="Q16" s="156" t="s">
        <v>2169</v>
      </c>
      <c r="R16" s="156" t="s">
        <v>2169</v>
      </c>
      <c r="S16" s="156" t="s">
        <v>2169</v>
      </c>
    </row>
    <row r="17" spans="2:19" ht="48" customHeight="1">
      <c r="B17" s="94" t="s">
        <v>268</v>
      </c>
      <c r="C17" s="106" t="s">
        <v>10</v>
      </c>
      <c r="D17" s="107" t="s">
        <v>11</v>
      </c>
      <c r="E17" s="107" t="str">
        <f t="shared" si="0"/>
        <v>処遇加算Ⅲ特定加算Ⅱベア加算なし</v>
      </c>
      <c r="F17" s="108" t="s">
        <v>2182</v>
      </c>
      <c r="G17" s="112" t="s">
        <v>2213</v>
      </c>
      <c r="H17" s="149" t="s">
        <v>2406</v>
      </c>
      <c r="I17" s="108" t="s">
        <v>2179</v>
      </c>
      <c r="J17" s="110" t="s">
        <v>2403</v>
      </c>
      <c r="K17" s="118" t="s">
        <v>2182</v>
      </c>
      <c r="L17" s="152" t="s">
        <v>2306</v>
      </c>
      <c r="M17" s="156" t="s">
        <v>2324</v>
      </c>
      <c r="N17" s="156" t="s">
        <v>2325</v>
      </c>
      <c r="O17" s="156" t="s">
        <v>2256</v>
      </c>
      <c r="P17" s="156" t="s">
        <v>2169</v>
      </c>
      <c r="Q17" s="156" t="s">
        <v>2169</v>
      </c>
      <c r="R17" s="156" t="s">
        <v>2169</v>
      </c>
      <c r="S17" s="156" t="s">
        <v>2169</v>
      </c>
    </row>
    <row r="18" spans="2:19" ht="48" customHeight="1">
      <c r="B18" s="94" t="s">
        <v>9</v>
      </c>
      <c r="C18" s="106" t="s">
        <v>13</v>
      </c>
      <c r="D18" s="107" t="s">
        <v>15</v>
      </c>
      <c r="E18" s="107" t="str">
        <f t="shared" si="0"/>
        <v>処遇加算Ⅰ特定加算なしベア加算</v>
      </c>
      <c r="F18" s="120" t="s">
        <v>2214</v>
      </c>
      <c r="G18" s="112" t="s">
        <v>2213</v>
      </c>
      <c r="H18" s="121" t="s">
        <v>2308</v>
      </c>
      <c r="I18" s="122" t="s">
        <v>2214</v>
      </c>
      <c r="J18" s="109" t="s">
        <v>2309</v>
      </c>
      <c r="K18" s="108"/>
      <c r="L18" s="111"/>
      <c r="M18" s="157" t="s">
        <v>2169</v>
      </c>
      <c r="N18" s="156" t="s">
        <v>2169</v>
      </c>
      <c r="O18" s="156" t="s">
        <v>2169</v>
      </c>
      <c r="P18" s="156" t="s">
        <v>2169</v>
      </c>
      <c r="Q18" s="156" t="s">
        <v>2326</v>
      </c>
      <c r="R18" s="156" t="s">
        <v>2169</v>
      </c>
      <c r="S18" s="156" t="s">
        <v>2327</v>
      </c>
    </row>
    <row r="19" spans="2:19" ht="48" customHeight="1">
      <c r="B19" s="94" t="s">
        <v>9</v>
      </c>
      <c r="C19" s="106" t="s">
        <v>13</v>
      </c>
      <c r="D19" s="107" t="s">
        <v>11</v>
      </c>
      <c r="E19" s="107" t="str">
        <f t="shared" si="0"/>
        <v>処遇加算Ⅰ特定加算なしベア加算なし</v>
      </c>
      <c r="F19" s="120" t="s">
        <v>2268</v>
      </c>
      <c r="G19" s="116" t="s">
        <v>2213</v>
      </c>
      <c r="H19" s="123" t="s">
        <v>2298</v>
      </c>
      <c r="I19" s="122" t="s">
        <v>2214</v>
      </c>
      <c r="J19" s="109" t="s">
        <v>2313</v>
      </c>
      <c r="K19" s="108" t="s">
        <v>2178</v>
      </c>
      <c r="L19" s="110" t="s">
        <v>2310</v>
      </c>
      <c r="M19" s="156" t="s">
        <v>2324</v>
      </c>
      <c r="N19" s="156" t="s">
        <v>2169</v>
      </c>
      <c r="O19" s="156" t="s">
        <v>2169</v>
      </c>
      <c r="P19" s="156" t="s">
        <v>2169</v>
      </c>
      <c r="Q19" s="156" t="s">
        <v>2326</v>
      </c>
      <c r="R19" s="156" t="s">
        <v>2169</v>
      </c>
      <c r="S19" s="156" t="s">
        <v>2327</v>
      </c>
    </row>
    <row r="20" spans="2:19" ht="48" customHeight="1">
      <c r="B20" s="94" t="s">
        <v>267</v>
      </c>
      <c r="C20" s="106" t="s">
        <v>13</v>
      </c>
      <c r="D20" s="107" t="s">
        <v>15</v>
      </c>
      <c r="E20" s="107" t="str">
        <f t="shared" si="0"/>
        <v>処遇加算Ⅱ特定加算なしベア加算</v>
      </c>
      <c r="F20" s="108" t="s">
        <v>276</v>
      </c>
      <c r="G20" s="118" t="s">
        <v>272</v>
      </c>
      <c r="H20" s="119" t="s">
        <v>2311</v>
      </c>
      <c r="I20" s="122" t="s">
        <v>2214</v>
      </c>
      <c r="J20" s="153" t="s">
        <v>2416</v>
      </c>
      <c r="K20" s="108" t="s">
        <v>276</v>
      </c>
      <c r="L20" s="109" t="s">
        <v>2322</v>
      </c>
      <c r="M20" s="157" t="s">
        <v>2169</v>
      </c>
      <c r="N20" s="156" t="s">
        <v>2169</v>
      </c>
      <c r="O20" s="156" t="s">
        <v>2169</v>
      </c>
      <c r="P20" s="156" t="s">
        <v>2169</v>
      </c>
      <c r="Q20" s="156" t="s">
        <v>2326</v>
      </c>
      <c r="R20" s="156" t="s">
        <v>2169</v>
      </c>
      <c r="S20" s="156" t="s">
        <v>2327</v>
      </c>
    </row>
    <row r="21" spans="2:19" ht="48" customHeight="1">
      <c r="B21" s="94" t="s">
        <v>267</v>
      </c>
      <c r="C21" s="106" t="s">
        <v>13</v>
      </c>
      <c r="D21" s="107" t="s">
        <v>11</v>
      </c>
      <c r="E21" s="107" t="str">
        <f t="shared" si="0"/>
        <v>処遇加算Ⅱ特定加算なしベア加算なし</v>
      </c>
      <c r="F21" s="108" t="s">
        <v>2181</v>
      </c>
      <c r="G21" s="108" t="s">
        <v>274</v>
      </c>
      <c r="H21" s="109" t="s">
        <v>2401</v>
      </c>
      <c r="I21" s="108" t="s">
        <v>276</v>
      </c>
      <c r="J21" s="153" t="s">
        <v>2321</v>
      </c>
      <c r="K21" s="108" t="s">
        <v>2181</v>
      </c>
      <c r="L21" s="154" t="s">
        <v>2312</v>
      </c>
      <c r="M21" s="156" t="s">
        <v>2324</v>
      </c>
      <c r="N21" s="156" t="s">
        <v>2169</v>
      </c>
      <c r="O21" s="156" t="s">
        <v>2169</v>
      </c>
      <c r="P21" s="156" t="s">
        <v>2169</v>
      </c>
      <c r="Q21" s="156" t="s">
        <v>2326</v>
      </c>
      <c r="R21" s="156" t="s">
        <v>2169</v>
      </c>
      <c r="S21" s="156" t="s">
        <v>2327</v>
      </c>
    </row>
    <row r="22" spans="2:19" ht="48" customHeight="1">
      <c r="B22" s="94" t="s">
        <v>268</v>
      </c>
      <c r="C22" s="106" t="s">
        <v>13</v>
      </c>
      <c r="D22" s="107" t="s">
        <v>15</v>
      </c>
      <c r="E22" s="107" t="str">
        <f t="shared" si="0"/>
        <v>処遇加算Ⅲ特定加算なしベア加算</v>
      </c>
      <c r="F22" s="108" t="s">
        <v>2183</v>
      </c>
      <c r="G22" s="108" t="s">
        <v>274</v>
      </c>
      <c r="H22" s="109" t="s">
        <v>2418</v>
      </c>
      <c r="I22" s="108" t="s">
        <v>276</v>
      </c>
      <c r="J22" s="153" t="s">
        <v>2417</v>
      </c>
      <c r="K22" s="108" t="s">
        <v>2183</v>
      </c>
      <c r="L22" s="111" t="s">
        <v>2314</v>
      </c>
      <c r="M22" s="156" t="s">
        <v>2169</v>
      </c>
      <c r="N22" s="156" t="s">
        <v>2325</v>
      </c>
      <c r="O22" s="156" t="s">
        <v>2256</v>
      </c>
      <c r="P22" s="156" t="s">
        <v>2169</v>
      </c>
      <c r="Q22" s="156" t="s">
        <v>2326</v>
      </c>
      <c r="R22" s="156" t="s">
        <v>2169</v>
      </c>
      <c r="S22" s="156" t="s">
        <v>2327</v>
      </c>
    </row>
    <row r="23" spans="2:19" ht="48" customHeight="1">
      <c r="B23" s="94" t="s">
        <v>268</v>
      </c>
      <c r="C23" s="106" t="s">
        <v>13</v>
      </c>
      <c r="D23" s="107" t="s">
        <v>11</v>
      </c>
      <c r="E23" s="107" t="str">
        <f t="shared" si="0"/>
        <v>処遇加算Ⅲ特定加算なしベア加算なし</v>
      </c>
      <c r="F23" s="108" t="s">
        <v>2184</v>
      </c>
      <c r="G23" s="108" t="s">
        <v>276</v>
      </c>
      <c r="H23" s="109" t="s">
        <v>2407</v>
      </c>
      <c r="I23" s="108" t="s">
        <v>2181</v>
      </c>
      <c r="J23" s="110" t="s">
        <v>2402</v>
      </c>
      <c r="K23" s="108" t="s">
        <v>2184</v>
      </c>
      <c r="L23" s="111" t="s">
        <v>2315</v>
      </c>
      <c r="M23" s="156" t="s">
        <v>2324</v>
      </c>
      <c r="N23" s="156" t="s">
        <v>2325</v>
      </c>
      <c r="O23" s="156" t="s">
        <v>2256</v>
      </c>
      <c r="P23" s="156" t="s">
        <v>2169</v>
      </c>
      <c r="Q23" s="156" t="s">
        <v>2326</v>
      </c>
      <c r="R23" s="156" t="s">
        <v>2169</v>
      </c>
      <c r="S23" s="156" t="s">
        <v>2327</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2192</v>
      </c>
      <c r="R25" s="102" t="s">
        <v>2193</v>
      </c>
      <c r="S25" s="102"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313</v>
      </c>
      <c r="C1" s="1" t="s">
        <v>314</v>
      </c>
      <c r="F1" s="1" t="s">
        <v>315</v>
      </c>
    </row>
    <row r="2" spans="1:11" ht="19.5" thickBot="1">
      <c r="A2" s="65" t="s">
        <v>316</v>
      </c>
      <c r="C2" s="66" t="s">
        <v>317</v>
      </c>
      <c r="D2" s="67" t="s">
        <v>318</v>
      </c>
      <c r="F2" s="68" t="s">
        <v>319</v>
      </c>
      <c r="G2" s="69">
        <v>0.7</v>
      </c>
      <c r="H2" s="69">
        <v>0.55000000000000004</v>
      </c>
      <c r="I2" s="70">
        <v>0.45</v>
      </c>
      <c r="J2" s="66" t="s">
        <v>320</v>
      </c>
      <c r="K2" s="67" t="s">
        <v>321</v>
      </c>
    </row>
    <row r="3" spans="1:11" ht="18.75">
      <c r="A3" s="71" t="s">
        <v>322</v>
      </c>
      <c r="C3" s="72" t="s">
        <v>322</v>
      </c>
      <c r="D3" s="73" t="s">
        <v>323</v>
      </c>
      <c r="F3" s="72" t="s">
        <v>324</v>
      </c>
      <c r="G3" s="74">
        <v>11.4</v>
      </c>
      <c r="H3" s="74">
        <v>11.1</v>
      </c>
      <c r="I3" s="75">
        <v>10.9</v>
      </c>
      <c r="J3" s="72" t="s">
        <v>260</v>
      </c>
      <c r="K3" s="76">
        <v>0.7</v>
      </c>
    </row>
    <row r="4" spans="1:11" ht="18.75">
      <c r="A4" s="16" t="s">
        <v>325</v>
      </c>
      <c r="C4" s="77" t="s">
        <v>322</v>
      </c>
      <c r="D4" s="78" t="s">
        <v>326</v>
      </c>
      <c r="F4" s="77" t="s">
        <v>327</v>
      </c>
      <c r="G4" s="79">
        <v>11.4</v>
      </c>
      <c r="H4" s="79">
        <v>11.1</v>
      </c>
      <c r="I4" s="80">
        <v>10.9</v>
      </c>
      <c r="J4" s="77" t="s">
        <v>280</v>
      </c>
      <c r="K4" s="81">
        <v>0.7</v>
      </c>
    </row>
    <row r="5" spans="1:11" ht="18.75">
      <c r="A5" s="16" t="s">
        <v>328</v>
      </c>
      <c r="C5" s="77" t="s">
        <v>322</v>
      </c>
      <c r="D5" s="78" t="s">
        <v>329</v>
      </c>
      <c r="F5" s="77" t="s">
        <v>330</v>
      </c>
      <c r="G5" s="79">
        <v>11.4</v>
      </c>
      <c r="H5" s="79">
        <v>11.1</v>
      </c>
      <c r="I5" s="80">
        <v>10.9</v>
      </c>
      <c r="J5" s="77" t="s">
        <v>283</v>
      </c>
      <c r="K5" s="81">
        <v>0.7</v>
      </c>
    </row>
    <row r="6" spans="1:11" ht="18.75">
      <c r="A6" s="16" t="s">
        <v>331</v>
      </c>
      <c r="C6" s="77" t="s">
        <v>322</v>
      </c>
      <c r="D6" s="78" t="s">
        <v>332</v>
      </c>
      <c r="F6" s="77" t="s">
        <v>333</v>
      </c>
      <c r="G6" s="79">
        <v>11.4</v>
      </c>
      <c r="H6" s="79">
        <v>11.1</v>
      </c>
      <c r="I6" s="80">
        <v>10.9</v>
      </c>
      <c r="J6" s="77" t="s">
        <v>278</v>
      </c>
      <c r="K6" s="81">
        <v>0.7</v>
      </c>
    </row>
    <row r="7" spans="1:11" ht="18.75">
      <c r="A7" s="16" t="s">
        <v>334</v>
      </c>
      <c r="C7" s="77" t="s">
        <v>322</v>
      </c>
      <c r="D7" s="78" t="s">
        <v>335</v>
      </c>
      <c r="F7" s="77" t="s">
        <v>336</v>
      </c>
      <c r="G7" s="79">
        <v>11.4</v>
      </c>
      <c r="H7" s="79">
        <v>11.1</v>
      </c>
      <c r="I7" s="80">
        <v>10.9</v>
      </c>
      <c r="J7" s="77" t="s">
        <v>281</v>
      </c>
      <c r="K7" s="81">
        <v>0.45</v>
      </c>
    </row>
    <row r="8" spans="1:11" ht="18.75">
      <c r="A8" s="16" t="s">
        <v>337</v>
      </c>
      <c r="C8" s="77" t="s">
        <v>322</v>
      </c>
      <c r="D8" s="78" t="s">
        <v>338</v>
      </c>
      <c r="F8" s="77" t="s">
        <v>339</v>
      </c>
      <c r="G8" s="79">
        <v>11.4</v>
      </c>
      <c r="H8" s="79">
        <v>11.1</v>
      </c>
      <c r="I8" s="80">
        <v>10.9</v>
      </c>
      <c r="J8" s="77" t="s">
        <v>284</v>
      </c>
      <c r="K8" s="81">
        <v>0.45</v>
      </c>
    </row>
    <row r="9" spans="1:11" ht="18.75">
      <c r="A9" s="16" t="s">
        <v>340</v>
      </c>
      <c r="C9" s="77" t="s">
        <v>322</v>
      </c>
      <c r="D9" s="78" t="s">
        <v>341</v>
      </c>
      <c r="F9" s="77" t="s">
        <v>342</v>
      </c>
      <c r="G9" s="79">
        <v>11.4</v>
      </c>
      <c r="H9" s="79">
        <v>11.1</v>
      </c>
      <c r="I9" s="80">
        <v>10.9</v>
      </c>
      <c r="J9" s="77" t="s">
        <v>285</v>
      </c>
      <c r="K9" s="81">
        <v>0.55000000000000004</v>
      </c>
    </row>
    <row r="10" spans="1:11" ht="18.75">
      <c r="A10" s="16" t="s">
        <v>343</v>
      </c>
      <c r="C10" s="77" t="s">
        <v>322</v>
      </c>
      <c r="D10" s="78" t="s">
        <v>344</v>
      </c>
      <c r="F10" s="77" t="s">
        <v>345</v>
      </c>
      <c r="G10" s="79">
        <v>11.4</v>
      </c>
      <c r="H10" s="79">
        <v>11.1</v>
      </c>
      <c r="I10" s="80">
        <v>10.9</v>
      </c>
      <c r="J10" s="77" t="s">
        <v>287</v>
      </c>
      <c r="K10" s="81">
        <v>0.45</v>
      </c>
    </row>
    <row r="11" spans="1:11" ht="18.75">
      <c r="A11" s="16" t="s">
        <v>346</v>
      </c>
      <c r="C11" s="77" t="s">
        <v>322</v>
      </c>
      <c r="D11" s="78" t="s">
        <v>347</v>
      </c>
      <c r="F11" s="77" t="s">
        <v>348</v>
      </c>
      <c r="G11" s="79">
        <v>11.4</v>
      </c>
      <c r="H11" s="79">
        <v>11.1</v>
      </c>
      <c r="I11" s="80">
        <v>10.9</v>
      </c>
      <c r="J11" s="77" t="s">
        <v>289</v>
      </c>
      <c r="K11" s="81">
        <v>0.45</v>
      </c>
    </row>
    <row r="12" spans="1:11" ht="18.75">
      <c r="A12" s="16" t="s">
        <v>349</v>
      </c>
      <c r="C12" s="77" t="s">
        <v>322</v>
      </c>
      <c r="D12" s="78" t="s">
        <v>350</v>
      </c>
      <c r="F12" s="77" t="s">
        <v>351</v>
      </c>
      <c r="G12" s="79">
        <v>11.4</v>
      </c>
      <c r="H12" s="79">
        <v>11.1</v>
      </c>
      <c r="I12" s="80">
        <v>10.9</v>
      </c>
      <c r="J12" s="77" t="s">
        <v>290</v>
      </c>
      <c r="K12" s="81">
        <v>0.55000000000000004</v>
      </c>
    </row>
    <row r="13" spans="1:11" ht="18.75">
      <c r="A13" s="16" t="s">
        <v>352</v>
      </c>
      <c r="C13" s="77" t="s">
        <v>322</v>
      </c>
      <c r="D13" s="78" t="s">
        <v>353</v>
      </c>
      <c r="F13" s="77" t="s">
        <v>354</v>
      </c>
      <c r="G13" s="79">
        <v>11.4</v>
      </c>
      <c r="H13" s="79">
        <v>11.1</v>
      </c>
      <c r="I13" s="80">
        <v>10.9</v>
      </c>
      <c r="J13" s="77" t="s">
        <v>292</v>
      </c>
      <c r="K13" s="81">
        <v>0.55000000000000004</v>
      </c>
    </row>
    <row r="14" spans="1:11" ht="18.75">
      <c r="A14" s="16" t="s">
        <v>355</v>
      </c>
      <c r="C14" s="77" t="s">
        <v>322</v>
      </c>
      <c r="D14" s="78" t="s">
        <v>356</v>
      </c>
      <c r="F14" s="77" t="s">
        <v>357</v>
      </c>
      <c r="G14" s="79">
        <v>11.4</v>
      </c>
      <c r="H14" s="79">
        <v>11.1</v>
      </c>
      <c r="I14" s="80">
        <v>10.9</v>
      </c>
      <c r="J14" s="77" t="s">
        <v>294</v>
      </c>
      <c r="K14" s="81">
        <v>0.55000000000000004</v>
      </c>
    </row>
    <row r="15" spans="1:11" ht="18.75">
      <c r="A15" s="16" t="s">
        <v>5</v>
      </c>
      <c r="C15" s="77" t="s">
        <v>322</v>
      </c>
      <c r="D15" s="78" t="s">
        <v>358</v>
      </c>
      <c r="F15" s="77" t="s">
        <v>359</v>
      </c>
      <c r="G15" s="79">
        <v>11.4</v>
      </c>
      <c r="H15" s="79">
        <v>11.1</v>
      </c>
      <c r="I15" s="80">
        <v>10.9</v>
      </c>
      <c r="J15" s="77" t="s">
        <v>295</v>
      </c>
      <c r="K15" s="81">
        <v>0.45</v>
      </c>
    </row>
    <row r="16" spans="1:11"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3" t="s">
        <v>307</v>
      </c>
      <c r="K24" s="134">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5">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2291</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東京都</v>
      </c>
      <c r="AJ1" s="964"/>
      <c r="AK1" s="964"/>
      <c r="AL1" s="964"/>
      <c r="AM1" s="964"/>
      <c r="AN1" s="964"/>
      <c r="AO1" s="964"/>
      <c r="AP1" s="964"/>
      <c r="AS1" s="1152" t="str">
        <f>B9&amp;G9&amp;L9</f>
        <v>処遇加算Ⅰ特定加算Ⅱベア加算なし</v>
      </c>
      <c r="AT1" s="1153"/>
      <c r="AU1" s="1153"/>
      <c r="AV1" s="1153"/>
      <c r="AW1" s="1153"/>
      <c r="AX1" s="1153"/>
      <c r="AY1" s="1153"/>
      <c r="AZ1" s="1153"/>
      <c r="BA1" s="1153"/>
      <c r="BB1" s="1153"/>
      <c r="BC1" s="1153"/>
      <c r="BD1" s="1153"/>
      <c r="BE1" s="1154"/>
      <c r="BF1" s="1151" t="str">
        <f>IFERROR(VLOOKUP(Y5,【参考】数式用!$AJ$2:$AK$24,2,FALSE),"")</f>
        <v>訪問介護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1334567890</v>
      </c>
      <c r="C5" s="1101"/>
      <c r="D5" s="1101"/>
      <c r="E5" s="1101"/>
      <c r="F5" s="1101"/>
      <c r="G5" s="1102" t="s">
        <v>4</v>
      </c>
      <c r="H5" s="1102"/>
      <c r="I5" s="1102"/>
      <c r="J5" s="1103" t="s">
        <v>5</v>
      </c>
      <c r="K5" s="1103"/>
      <c r="L5" s="1103"/>
      <c r="M5" s="1104" t="s">
        <v>6</v>
      </c>
      <c r="N5" s="1104"/>
      <c r="O5" s="1104"/>
      <c r="P5" s="1105">
        <f>IF(Y5="","",IFERROR(INDEX(【参考】数式用3!$G$3:$I$451,MATCH(M5,【参考】数式用3!$F$3:$F$451,0),MATCH(VLOOKUP(Y5,【参考】数式用3!$J$2:$K$26,2,FALSE),【参考】数式用3!$G$2:$I$2,0)),10))</f>
        <v>11.4</v>
      </c>
      <c r="Q5" s="1106"/>
      <c r="R5" s="1106"/>
      <c r="S5" s="1107" t="s">
        <v>7</v>
      </c>
      <c r="T5" s="1108"/>
      <c r="U5" s="1108"/>
      <c r="V5" s="1108"/>
      <c r="W5" s="1108"/>
      <c r="X5" s="1109"/>
      <c r="Y5" s="1123" t="s">
        <v>260</v>
      </c>
      <c r="Z5" s="1123"/>
      <c r="AA5" s="1123"/>
      <c r="AB5" s="1123"/>
      <c r="AC5" s="1123"/>
      <c r="AD5" s="1123"/>
      <c r="AE5" s="1129">
        <v>225000</v>
      </c>
      <c r="AF5" s="1130"/>
      <c r="AG5" s="1130"/>
      <c r="AH5" s="1131"/>
      <c r="AI5" s="1129">
        <v>40000</v>
      </c>
      <c r="AJ5" s="1130"/>
      <c r="AK5" s="1130"/>
      <c r="AL5" s="1131"/>
      <c r="AM5" s="1132">
        <f>AE5-AI5</f>
        <v>185000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新加算Ⅱ</v>
      </c>
      <c r="W8" s="1111"/>
      <c r="X8" s="1111"/>
      <c r="Y8" s="1111"/>
      <c r="Z8" s="1112"/>
      <c r="AA8" s="1125" t="str">
        <f>IFERROR(VLOOKUP(AS1,【参考】数式用2!E6:L23,4,FALSE),"")</f>
        <v>補助金を取得する場合、４月からベア加算の算定が必要。その場合、６月以降は自然と新加算Ⅱに移行可能。</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v>
      </c>
      <c r="AX8" s="969" t="str">
        <f>IF(OR(V8="新加算Ⅰ",V8="新加算Ⅱ",V8="新加算Ⅴ(１)",V8="新加算Ⅴ(２)",V8="新加算Ⅴ(３)",V8="新加算Ⅴ(４)",V8="新加算Ⅴ(５)",V8="新加算Ⅴ(６)",V8="新加算Ⅴ(７)",V8="新加算Ⅴ(９)",V8="新加算Ⅴ(10)",V8="新加算Ⅴ(12)"),"○","")</f>
        <v>○</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v>
      </c>
      <c r="BA8" s="181"/>
      <c r="CE8" s="987" t="s">
        <v>2388</v>
      </c>
      <c r="CF8" s="987"/>
      <c r="CG8" s="987"/>
      <c r="CH8" s="987"/>
      <c r="CI8" s="973" t="str">
        <f>IF(AND(AP62=1,AL41=""),1,"")</f>
        <v/>
      </c>
      <c r="CJ8" s="974"/>
    </row>
    <row r="9" spans="1:88" ht="26.25" customHeight="1">
      <c r="B9" s="1071" t="s">
        <v>9</v>
      </c>
      <c r="C9" s="1072"/>
      <c r="D9" s="1072"/>
      <c r="E9" s="1072"/>
      <c r="F9" s="1073"/>
      <c r="G9" s="1074" t="s">
        <v>10</v>
      </c>
      <c r="H9" s="1075"/>
      <c r="I9" s="1075"/>
      <c r="J9" s="1075"/>
      <c r="K9" s="1076"/>
      <c r="L9" s="1077" t="s">
        <v>11</v>
      </c>
      <c r="M9" s="1078"/>
      <c r="N9" s="1078"/>
      <c r="O9" s="1078"/>
      <c r="P9" s="1079"/>
      <c r="Q9" s="1066" t="s">
        <v>2200</v>
      </c>
      <c r="R9" s="1067"/>
      <c r="S9" s="1067"/>
      <c r="T9" s="1000"/>
      <c r="U9" s="1001"/>
      <c r="V9" s="1113">
        <f>IFERROR(VLOOKUP(Y5,【参考】数式用!$A$5:$AB$27,MATCH(V8,【参考】数式用!$B$4:$AB$4,0)+1,FALSE),"")</f>
        <v>0.224</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0.13700000000000001</v>
      </c>
      <c r="C10" s="1081"/>
      <c r="D10" s="1081"/>
      <c r="E10" s="1081"/>
      <c r="F10" s="1082"/>
      <c r="G10" s="1080">
        <f>IFERROR(VLOOKUP(Y5,【参考】数式用!$A$5:$J$27,MATCH(G9,【参考】数式用!$B$4:$J$4,0)+1,0),"")</f>
        <v>4.2000000000000003E-2</v>
      </c>
      <c r="H10" s="1081"/>
      <c r="I10" s="1081"/>
      <c r="J10" s="1081"/>
      <c r="K10" s="1082"/>
      <c r="L10" s="1080">
        <f>IFERROR(VLOOKUP(Y5,【参考】数式用!$A$5:$J$27,MATCH(L9,【参考】数式用!$B$4:$J$4,0)+1,0),"")</f>
        <v>0</v>
      </c>
      <c r="M10" s="1081"/>
      <c r="N10" s="1081"/>
      <c r="O10" s="1081"/>
      <c r="P10" s="1082"/>
      <c r="Q10" s="995">
        <f>SUM(B10,G10,L10)</f>
        <v>0.17900000000000002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新加算Ⅴ(３)</v>
      </c>
      <c r="W11" s="1100"/>
      <c r="X11" s="1100"/>
      <c r="Y11" s="1100"/>
      <c r="Z11" s="1100"/>
      <c r="AA11" s="1125" t="str">
        <f>IFERROR(VLOOKUP(AS1,【参考】数式用2!E6:L23,6,FALSE),"")</f>
        <v>４月からベア加算を算定せず、６月から月額賃金改善要件Ⅱも満たさない場合、Ⅴ(３)となる。なお、R7年度以降は月額賃金改善要件Ⅱが必要。</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v>
      </c>
      <c r="AX11" s="969" t="str">
        <f>IF(OR(V11="新加算Ⅰ",V11="新加算Ⅱ",V11="新加算Ⅴ(１)",V11="新加算Ⅴ(２)",V11="新加算Ⅴ(３)",V11="新加算Ⅴ(４)",V11="新加算Ⅴ(５)",V11="新加算Ⅴ(６)",V11="新加算Ⅴ(７)",V11="新加算Ⅴ(９)",V11="新加算Ⅴ(10)",V11="新加算Ⅴ(12)"),"○","")</f>
        <v>○</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0.2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f>IFERROR(VLOOKUP(AS1,【参考】数式用2!E6:L23,8,FALSE),"")</f>
        <v>0</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！R7年度以降、いずれの区分でも必要になる上、R6.4時点でのベア加算の算定がR6.2-5の補助金の要件となるため、早期の対応を推奨。</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0</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特定事業所加算ⅠまたはⅡを算定する。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IFERROR(IF(AND(OR(AP61=1,AP61=2),AP62=1,AP63=1),"特定加算Ⅰ",IF(AND(OR(AP61=1,AP61=2),AP62=2,AP63=1),"特定加算Ⅱ",IF(OR(AP61=3,AP62=2,AP63=2),"特定加算なし",""))),"")</f>
        <v>特定加算Ⅱ</v>
      </c>
      <c r="AX48" s="994"/>
      <c r="AY48" s="994"/>
      <c r="AZ48" s="994"/>
      <c r="BA48" s="994" t="str">
        <f>IFERROR(IF(OR(L9="ベア加算",AP57=1),"ベア加算",IF(AP57=2,"ベア加算なし","")),"")</f>
        <v>ベア加算</v>
      </c>
      <c r="BB48" s="994"/>
      <c r="BC48" s="994"/>
      <c r="BD48" s="994"/>
      <c r="BE48" s="1118" t="str">
        <f>AS48&amp;AW48&amp;BA48</f>
        <v>処遇加算Ⅰ特定加算Ⅱベア加算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処遇加算Ⅰ</v>
      </c>
      <c r="H49" s="1005"/>
      <c r="I49" s="1005"/>
      <c r="J49" s="1005"/>
      <c r="K49" s="1006"/>
      <c r="L49" s="1004" t="str">
        <f>IFERROR(IF(G9="","",IF(AND(OR(AH61=1,AH61=2),AH62=1,AH63=1),"特定加算Ⅰ",IF(AND(OR(AH61=1,AH61=2),AH62=2,AH63=1),"特定加算Ⅱ",IF(OR(AH61=3,AH62=2,AH63=2),"特定加算なし","")))),"")</f>
        <v>特定加算Ⅱ</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新加算Ⅱ</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f>IFERROR(VLOOKUP(Y5,【参考】数式用!$A$5:$J$27,MATCH(G49,【参考】数式用!$B$4:$J$4,0)+1,0),"")</f>
        <v>0.13700000000000001</v>
      </c>
      <c r="H50" s="1062"/>
      <c r="I50" s="1062"/>
      <c r="J50" s="1062"/>
      <c r="K50" s="1063"/>
      <c r="L50" s="1061">
        <f>IFERROR(VLOOKUP(Y5,【参考】数式用!$A$5:$J$27,MATCH(L49,【参考】数式用!$B$4:$J$4,0)+1,0),"")</f>
        <v>4.2000000000000003E-2</v>
      </c>
      <c r="M50" s="1062"/>
      <c r="N50" s="1062"/>
      <c r="O50" s="1062"/>
      <c r="P50" s="1064"/>
      <c r="Q50" s="1065">
        <f>IFERROR(VLOOKUP(Y5,【参考】数式用!$A$5:$J$27,MATCH(Q49,【参考】数式用!$B$4:$J$4,0)+1,0),"")</f>
        <v>2.4E-2</v>
      </c>
      <c r="R50" s="1062"/>
      <c r="S50" s="1062"/>
      <c r="T50" s="1062"/>
      <c r="U50" s="1064"/>
      <c r="V50" s="995">
        <f>SUM(G50,L50,Q50)</f>
        <v>0.20300000000000001</v>
      </c>
      <c r="W50" s="996"/>
      <c r="X50" s="996"/>
      <c r="Y50" s="996"/>
      <c r="Z50" s="996"/>
      <c r="AA50" s="1002"/>
      <c r="AB50" s="1002"/>
      <c r="AC50" s="997">
        <f>IFERROR(VLOOKUP(Y5,【参考】数式用!$A$5:$AB$27,MATCH(AC49,【参考】数式用!$B$4:$AB$4,0)+1,FALSE),"")</f>
        <v>0.224</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f>IFERROR(ROUNDDOWN(ROUND(AM5*G50,0)*P5,0)*H53,"")</f>
        <v>577866</v>
      </c>
      <c r="H51" s="989"/>
      <c r="I51" s="989"/>
      <c r="J51" s="989"/>
      <c r="K51" s="145" t="s">
        <v>2289</v>
      </c>
      <c r="L51" s="1044">
        <f>IFERROR(ROUNDDOWN(ROUND(AM5*L50,0)*P5,0)*H53,"")</f>
        <v>177156</v>
      </c>
      <c r="M51" s="989"/>
      <c r="N51" s="989"/>
      <c r="O51" s="989"/>
      <c r="P51" s="145" t="s">
        <v>2289</v>
      </c>
      <c r="Q51" s="1044">
        <f>IFERROR(ROUNDDOWN(ROUND(AM5*Q50,0)*P5,0)*H53,"")</f>
        <v>101232</v>
      </c>
      <c r="R51" s="989"/>
      <c r="S51" s="989"/>
      <c r="T51" s="989"/>
      <c r="U51" s="146" t="s">
        <v>2289</v>
      </c>
      <c r="V51" s="1045">
        <f>IFERROR(SUM(G51,L51,Q51),"")</f>
        <v>856254</v>
      </c>
      <c r="W51" s="1046"/>
      <c r="X51" s="1046"/>
      <c r="Y51" s="1046"/>
      <c r="Z51" s="147" t="s">
        <v>2289</v>
      </c>
      <c r="AB51" s="148"/>
      <c r="AC51" s="1044">
        <f>IFERROR(ROUNDDOWN(ROUND(AM5*AC50,0)*P5,0)*AD53,"")</f>
        <v>4724160</v>
      </c>
      <c r="AD51" s="989"/>
      <c r="AE51" s="989"/>
      <c r="AF51" s="989"/>
      <c r="AG51" s="989"/>
      <c r="AH51" s="146" t="s">
        <v>2289</v>
      </c>
      <c r="AS51" s="992">
        <f>IFERROR(ROUNDDOWN(ROUND(AM5*(G50-B10),0)*P5,0)*H53,"")</f>
        <v>0</v>
      </c>
      <c r="AT51" s="992"/>
      <c r="AU51" s="992"/>
      <c r="AV51" s="992"/>
      <c r="AW51" s="992">
        <f>IFERROR(ROUNDDOWN(ROUND(AM5*(L50-G10),0)*P5,0)*H53,"")</f>
        <v>0</v>
      </c>
      <c r="AX51" s="992"/>
      <c r="AY51" s="992"/>
      <c r="AZ51" s="992"/>
      <c r="BA51" s="992">
        <f>IFERROR(ROUNDDOWN(ROUND(AM5*(Q50-L10),0)*P5,0)*H53,"")</f>
        <v>101232</v>
      </c>
      <c r="BB51" s="992"/>
      <c r="BC51" s="992"/>
      <c r="BD51" s="992"/>
      <c r="BE51" s="992">
        <f>IFERROR(ROUNDDOWN(ROUND(AM5*(AC50-Q10),0)*P5,0)*AD53,"")</f>
        <v>949050</v>
      </c>
      <c r="BF51" s="992"/>
      <c r="BG51" s="992"/>
      <c r="BH51" s="992"/>
      <c r="BI51" s="992">
        <f>SUM(AS51:BH51)</f>
        <v>1050282</v>
      </c>
      <c r="BJ51" s="992"/>
      <c r="BK51" s="992"/>
      <c r="BL51" s="992"/>
      <c r="BM51" s="232"/>
      <c r="BN51" s="992">
        <f>IFERROR(ROUNDDOWN(ROUNDDOWN(ROUND(AM5*(VLOOKUP(Y5,【参考】数式用!$A$5:$AB$27,14,FALSE)),0)*P5,0)*AD53*0.5,0),"")</f>
        <v>1529025</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(288,933円/月)</v>
      </c>
      <c r="H52" s="991"/>
      <c r="I52" s="991"/>
      <c r="J52" s="991"/>
      <c r="K52" s="991"/>
      <c r="L52" s="991" t="str">
        <f>IFERROR("("&amp;TEXT(L51/H53,"#,##0円")&amp;"/月)","")</f>
        <v>(88,578円/月)</v>
      </c>
      <c r="M52" s="991"/>
      <c r="N52" s="991"/>
      <c r="O52" s="991"/>
      <c r="P52" s="991"/>
      <c r="Q52" s="991" t="str">
        <f>IFERROR("("&amp;TEXT(Q51/H53,"#,##0円")&amp;"/月)","")</f>
        <v>(50,616円/月)</v>
      </c>
      <c r="R52" s="991"/>
      <c r="S52" s="991"/>
      <c r="T52" s="991"/>
      <c r="U52" s="991"/>
      <c r="V52" s="991" t="str">
        <f>IFERROR("("&amp;TEXT(V51/H53,"#,##0円")&amp;"/月)","")</f>
        <v>(428,127円/月)</v>
      </c>
      <c r="W52" s="991"/>
      <c r="X52" s="991"/>
      <c r="Y52" s="991"/>
      <c r="Z52" s="991"/>
      <c r="AB52" s="148"/>
      <c r="AC52" s="1143" t="str">
        <f>IFERROR("("&amp;TEXT(AC51/AD53,"#,##0円")&amp;"/月)","")</f>
        <v>(472,416円/月)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f>IF(AND(B9&lt;&gt;"処遇加算なし",F15=4),IF(V21="✓",1,IF(V22="✓",2,"")),"")</f>
        <v>2</v>
      </c>
      <c r="AA57" s="236"/>
      <c r="AB57" s="240"/>
      <c r="AC57" s="993" t="s">
        <v>2203</v>
      </c>
      <c r="AD57" s="993"/>
      <c r="AE57" s="993"/>
      <c r="AF57" s="993"/>
      <c r="AG57" s="993"/>
      <c r="AH57" s="167">
        <v>1</v>
      </c>
      <c r="AI57" s="240"/>
      <c r="AJ57" s="240"/>
      <c r="AK57" s="993" t="s">
        <v>2203</v>
      </c>
      <c r="AL57" s="993"/>
      <c r="AM57" s="993"/>
      <c r="AN57" s="993"/>
      <c r="AO57" s="993"/>
      <c r="AP57" s="167">
        <v>1</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f>IF(AND(B9&lt;&gt;"処遇加算なし",F15=4),IF(V24="✓",1,IF(V25="✓",2,IF(V26="✓",3,""))),"")</f>
        <v>1</v>
      </c>
      <c r="AA58" s="236"/>
      <c r="AB58" s="240"/>
      <c r="AC58" s="1117" t="s">
        <v>2204</v>
      </c>
      <c r="AD58" s="1117"/>
      <c r="AE58" s="1117"/>
      <c r="AF58" s="1117"/>
      <c r="AG58" s="1117"/>
      <c r="AH58" s="167">
        <v>1</v>
      </c>
      <c r="AI58" s="240"/>
      <c r="AJ58" s="240"/>
      <c r="AK58" s="1117" t="s">
        <v>2204</v>
      </c>
      <c r="AL58" s="1117"/>
      <c r="AM58" s="1117"/>
      <c r="AN58" s="1117"/>
      <c r="AO58" s="1117"/>
      <c r="AP58" s="167">
        <v>1</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f>IF(AND(B9&lt;&gt;"処遇加算なし",F15=4),IF(V28="✓",1,IF(V29="✓",2,IF(V30="✓",3,""))),"")</f>
        <v>1</v>
      </c>
      <c r="AA59" s="236"/>
      <c r="AB59" s="240"/>
      <c r="AC59" s="1117" t="s">
        <v>2205</v>
      </c>
      <c r="AD59" s="1117"/>
      <c r="AE59" s="1117"/>
      <c r="AF59" s="1117"/>
      <c r="AG59" s="1117"/>
      <c r="AH59" s="167">
        <v>1</v>
      </c>
      <c r="AI59" s="240"/>
      <c r="AJ59" s="240"/>
      <c r="AK59" s="1117" t="s">
        <v>2205</v>
      </c>
      <c r="AL59" s="1117"/>
      <c r="AM59" s="1117"/>
      <c r="AN59" s="1117"/>
      <c r="AO59" s="1117"/>
      <c r="AP59" s="167">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f>IF(AND(B9&lt;&gt;"処遇加算なし",F15=4),IF(V32="✓",1,IF(V33="✓",2,"")),"")</f>
        <v>1</v>
      </c>
      <c r="AA60" s="236"/>
      <c r="AB60" s="240"/>
      <c r="AC60" s="1117" t="s">
        <v>2206</v>
      </c>
      <c r="AD60" s="1117"/>
      <c r="AE60" s="1117"/>
      <c r="AF60" s="1117"/>
      <c r="AG60" s="1117"/>
      <c r="AH60" s="167">
        <v>1</v>
      </c>
      <c r="AI60" s="240"/>
      <c r="AJ60" s="240"/>
      <c r="AK60" s="1117" t="s">
        <v>2206</v>
      </c>
      <c r="AL60" s="1117"/>
      <c r="AM60" s="1117"/>
      <c r="AN60" s="1117"/>
      <c r="AO60" s="1117"/>
      <c r="AP60" s="167">
        <v>1</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f>IF(AND(B9&lt;&gt;"処遇加算なし",F15=4),IF(V36="✓",1,IF(V37="✓",2,"")),"")</f>
        <v>1</v>
      </c>
      <c r="AA61" s="236"/>
      <c r="AB61" s="240"/>
      <c r="AC61" s="1117" t="s">
        <v>2207</v>
      </c>
      <c r="AD61" s="1117"/>
      <c r="AE61" s="1117"/>
      <c r="AF61" s="1117"/>
      <c r="AG61" s="1117"/>
      <c r="AH61" s="167">
        <v>1</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v>2</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f>IF(AND(B9&lt;&gt;"処遇加算なし",F15=4),IF(V44="✓",1,IF(V45="✓",2,"")),"")</f>
        <v>1</v>
      </c>
      <c r="AA63" s="236"/>
      <c r="AB63" s="240"/>
      <c r="AC63" s="993" t="s">
        <v>2209</v>
      </c>
      <c r="AD63" s="993"/>
      <c r="AE63" s="993"/>
      <c r="AF63" s="993"/>
      <c r="AG63" s="993"/>
      <c r="AH63" s="167">
        <v>1</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2423</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東京都</v>
      </c>
      <c r="AJ1" s="964"/>
      <c r="AK1" s="964"/>
      <c r="AL1" s="964"/>
      <c r="AM1" s="964"/>
      <c r="AN1" s="964"/>
      <c r="AO1" s="964"/>
      <c r="AP1" s="964"/>
      <c r="AS1" s="1152" t="str">
        <f>B9&amp;G9&amp;L9</f>
        <v>処遇加算Ⅱ特定加算なしベア加算</v>
      </c>
      <c r="AT1" s="1153"/>
      <c r="AU1" s="1153"/>
      <c r="AV1" s="1153"/>
      <c r="AW1" s="1153"/>
      <c r="AX1" s="1153"/>
      <c r="AY1" s="1153"/>
      <c r="AZ1" s="1153"/>
      <c r="BA1" s="1153"/>
      <c r="BB1" s="1153"/>
      <c r="BC1" s="1153"/>
      <c r="BD1" s="1153"/>
      <c r="BE1" s="1154"/>
      <c r="BF1" s="1151" t="str">
        <f>IFERROR(VLOOKUP(Y5,【参考】数式用!$AJ$2:$AK$24,2,FALSE),"")</f>
        <v>通所介護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f>IF(AND(L9="ベア加算",Q49="ベア加算"),1,"")</f>
        <v>1</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1334567891</v>
      </c>
      <c r="C5" s="1101"/>
      <c r="D5" s="1101"/>
      <c r="E5" s="1101"/>
      <c r="F5" s="1101"/>
      <c r="G5" s="1102" t="s">
        <v>4</v>
      </c>
      <c r="H5" s="1102"/>
      <c r="I5" s="1102"/>
      <c r="J5" s="1103" t="s">
        <v>5</v>
      </c>
      <c r="K5" s="1103"/>
      <c r="L5" s="1103"/>
      <c r="M5" s="1104" t="s">
        <v>6</v>
      </c>
      <c r="N5" s="1104"/>
      <c r="O5" s="1104"/>
      <c r="P5" s="1105">
        <f>IF(Y5="","",IFERROR(INDEX(【参考】数式用3!$G$3:$I$451,MATCH(M5,【参考】数式用3!$F$3:$F$451,0),MATCH(VLOOKUP(Y5,【参考】数式用3!$J$2:$K$26,2,FALSE),【参考】数式用3!$G$2:$I$2,0)),10))</f>
        <v>10.9</v>
      </c>
      <c r="Q5" s="1106"/>
      <c r="R5" s="1106"/>
      <c r="S5" s="1107" t="s">
        <v>2431</v>
      </c>
      <c r="T5" s="1108"/>
      <c r="U5" s="1108"/>
      <c r="V5" s="1108"/>
      <c r="W5" s="1108"/>
      <c r="X5" s="1109"/>
      <c r="Y5" s="1123" t="s">
        <v>281</v>
      </c>
      <c r="Z5" s="1123"/>
      <c r="AA5" s="1123"/>
      <c r="AB5" s="1123"/>
      <c r="AC5" s="1123"/>
      <c r="AD5" s="1123"/>
      <c r="AE5" s="1129">
        <v>385000</v>
      </c>
      <c r="AF5" s="1130"/>
      <c r="AG5" s="1130"/>
      <c r="AH5" s="1131"/>
      <c r="AI5" s="1129">
        <v>80000</v>
      </c>
      <c r="AJ5" s="1130"/>
      <c r="AK5" s="1130"/>
      <c r="AL5" s="1131"/>
      <c r="AM5" s="1132">
        <f>AE5-AI5</f>
        <v>305000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新加算Ⅱ</v>
      </c>
      <c r="W8" s="1111"/>
      <c r="X8" s="1111"/>
      <c r="Y8" s="1111"/>
      <c r="Z8" s="1112"/>
      <c r="AA8" s="1125"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v>
      </c>
      <c r="AX8" s="969" t="str">
        <f>IF(OR(V8="新加算Ⅰ",V8="新加算Ⅱ",V8="新加算Ⅴ(１)",V8="新加算Ⅴ(２)",V8="新加算Ⅴ(３)",V8="新加算Ⅴ(４)",V8="新加算Ⅴ(５)",V8="新加算Ⅴ(６)",V8="新加算Ⅴ(７)",V8="新加算Ⅴ(９)",V8="新加算Ⅴ(10)",V8="新加算Ⅴ(12)"),"○","")</f>
        <v>○</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v>
      </c>
      <c r="BA8" s="181"/>
      <c r="CE8" s="987" t="s">
        <v>2388</v>
      </c>
      <c r="CF8" s="987"/>
      <c r="CG8" s="987"/>
      <c r="CH8" s="987"/>
      <c r="CI8" s="973" t="str">
        <f>IF(AND(AP62=1,AL41=""),1,"")</f>
        <v/>
      </c>
      <c r="CJ8" s="974"/>
    </row>
    <row r="9" spans="1:88" ht="26.25" customHeight="1">
      <c r="B9" s="1071" t="s">
        <v>267</v>
      </c>
      <c r="C9" s="1072"/>
      <c r="D9" s="1072"/>
      <c r="E9" s="1072"/>
      <c r="F9" s="1073"/>
      <c r="G9" s="1074" t="s">
        <v>13</v>
      </c>
      <c r="H9" s="1075"/>
      <c r="I9" s="1075"/>
      <c r="J9" s="1075"/>
      <c r="K9" s="1076"/>
      <c r="L9" s="1077" t="s">
        <v>15</v>
      </c>
      <c r="M9" s="1078"/>
      <c r="N9" s="1078"/>
      <c r="O9" s="1078"/>
      <c r="P9" s="1079"/>
      <c r="Q9" s="1066" t="s">
        <v>2200</v>
      </c>
      <c r="R9" s="1067"/>
      <c r="S9" s="1067"/>
      <c r="T9" s="1000"/>
      <c r="U9" s="1001"/>
      <c r="V9" s="1113">
        <f>IFERROR(VLOOKUP(Y5,【参考】数式用!$A$5:$AB$27,MATCH(V8,【参考】数式用!$B$4:$AB$4,0)+1,FALSE),"")</f>
        <v>8.9999999999999983E-2</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4.2999999999999997E-2</v>
      </c>
      <c r="C10" s="1081"/>
      <c r="D10" s="1081"/>
      <c r="E10" s="1081"/>
      <c r="F10" s="1082"/>
      <c r="G10" s="1080">
        <f>IFERROR(VLOOKUP(Y5,【参考】数式用!$A$5:$J$27,MATCH(G9,【参考】数式用!$B$4:$J$4,0)+1,0),"")</f>
        <v>0</v>
      </c>
      <c r="H10" s="1081"/>
      <c r="I10" s="1081"/>
      <c r="J10" s="1081"/>
      <c r="K10" s="1082"/>
      <c r="L10" s="1080">
        <f>IFERROR(VLOOKUP(Y5,【参考】数式用!$A$5:$J$27,MATCH(L9,【参考】数式用!$B$4:$J$4,0)+1,0),"")</f>
        <v>1.0999999999999999E-2</v>
      </c>
      <c r="M10" s="1081"/>
      <c r="N10" s="1081"/>
      <c r="O10" s="1081"/>
      <c r="P10" s="1082"/>
      <c r="Q10" s="995">
        <f>SUM(B10,G10,L10)</f>
        <v>5.3999999999999992E-2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新加算Ⅲ</v>
      </c>
      <c r="W11" s="1100"/>
      <c r="X11" s="1100"/>
      <c r="Y11" s="1100"/>
      <c r="Z11" s="1100"/>
      <c r="AA11" s="1125" t="str">
        <f>IFERROR(VLOOKUP(AS1,【参考】数式用2!E6:L23,6,FALSE),"")</f>
        <v>キャリアパス要件Ⅲを「R6年度中の対応の誓約」で満たし、４月から旧処遇加算Ⅰを算定可。その場合、６月以降は自然と新加算Ⅲに移行可能。</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7.9999999999999988E-2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新加算Ⅳ</v>
      </c>
      <c r="W14" s="1100"/>
      <c r="X14" s="1100"/>
      <c r="Y14" s="1100"/>
      <c r="Z14" s="1100"/>
      <c r="AA14" s="1135"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f>IFERROR(VLOOKUP(Y5,【参考】数式用!$A$5:$AB$27,MATCH(V14,【参考】数式用!$B$4:$AB$4,0)+1,FALSE),"")</f>
        <v>6.3999999999999987E-2</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1</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t="s">
        <v>2271</v>
      </c>
      <c r="AE41" s="1026"/>
      <c r="AF41" s="1026"/>
      <c r="AG41" s="1026"/>
      <c r="AH41" s="1027"/>
      <c r="AI41" s="1000"/>
      <c r="AJ41" s="1001"/>
      <c r="AK41" s="225" t="s">
        <v>90</v>
      </c>
      <c r="AL41" s="1025" t="s">
        <v>2271</v>
      </c>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IFERROR(IF(AND(OR(AP61=1,AP61=2),AP62=1,AP63=1),"特定加算Ⅰ",IF(AND(OR(AP61=1,AP61=2),AP62=2,AP63=1),"特定加算Ⅱ",IF(OR(AP61=3,AP62=2,AP63=2),"特定加算なし",""))),"")</f>
        <v>特定加算Ⅱ</v>
      </c>
      <c r="AX48" s="994"/>
      <c r="AY48" s="994"/>
      <c r="AZ48" s="994"/>
      <c r="BA48" s="994" t="str">
        <f>IFERROR(IF(OR(L9="ベア加算",AP57=1),"ベア加算",IF(AP57=2,"ベア加算なし","")),"")</f>
        <v>ベア加算</v>
      </c>
      <c r="BB48" s="994"/>
      <c r="BC48" s="994"/>
      <c r="BD48" s="994"/>
      <c r="BE48" s="1118" t="str">
        <f>AS48&amp;AW48&amp;BA48</f>
        <v>処遇加算Ⅰ特定加算Ⅱベア加算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処遇加算Ⅰ</v>
      </c>
      <c r="H49" s="1005"/>
      <c r="I49" s="1005"/>
      <c r="J49" s="1005"/>
      <c r="K49" s="1006"/>
      <c r="L49" s="1004" t="str">
        <f>IFERROR(IF(G9="","",IF(AND(OR(AH61=1,AH61=2),AH62=1,AH63=1),"特定加算Ⅰ",IF(AND(OR(AH61=1,AH61=2),AH62=2,AH63=1),"特定加算Ⅱ",IF(OR(AH61=3,AH62=2,AH63=2),"特定加算なし","")))),"")</f>
        <v>特定加算Ⅱ</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新加算Ⅱ</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f>IFERROR(VLOOKUP(Y5,【参考】数式用!$A$5:$J$27,MATCH(G49,【参考】数式用!$B$4:$J$4,0)+1,0),"")</f>
        <v>5.8999999999999997E-2</v>
      </c>
      <c r="H50" s="1062"/>
      <c r="I50" s="1062"/>
      <c r="J50" s="1062"/>
      <c r="K50" s="1063"/>
      <c r="L50" s="1061">
        <f>IFERROR(VLOOKUP(Y5,【参考】数式用!$A$5:$J$27,MATCH(L49,【参考】数式用!$B$4:$J$4,0)+1,0),"")</f>
        <v>0.01</v>
      </c>
      <c r="M50" s="1062"/>
      <c r="N50" s="1062"/>
      <c r="O50" s="1062"/>
      <c r="P50" s="1064"/>
      <c r="Q50" s="1065">
        <f>IFERROR(VLOOKUP(Y5,【参考】数式用!$A$5:$J$27,MATCH(Q49,【参考】数式用!$B$4:$J$4,0)+1,0),"")</f>
        <v>1.0999999999999999E-2</v>
      </c>
      <c r="R50" s="1062"/>
      <c r="S50" s="1062"/>
      <c r="T50" s="1062"/>
      <c r="U50" s="1064"/>
      <c r="V50" s="995">
        <f>SUM(G50,L50,Q50)</f>
        <v>7.9999999999999988E-2</v>
      </c>
      <c r="W50" s="996"/>
      <c r="X50" s="996"/>
      <c r="Y50" s="996"/>
      <c r="Z50" s="996"/>
      <c r="AA50" s="1002"/>
      <c r="AB50" s="1002"/>
      <c r="AC50" s="997">
        <f>IFERROR(VLOOKUP(Y5,【参考】数式用!$A$5:$AB$27,MATCH(AC49,【参考】数式用!$B$4:$AB$4,0)+1,FALSE),"")</f>
        <v>8.9999999999999983E-2</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f>IFERROR(ROUNDDOWN(ROUND(AM5*G50,0)*P5,0)*H53,"")</f>
        <v>392290</v>
      </c>
      <c r="H51" s="989"/>
      <c r="I51" s="989"/>
      <c r="J51" s="989"/>
      <c r="K51" s="145" t="s">
        <v>2289</v>
      </c>
      <c r="L51" s="1044">
        <f>IFERROR(ROUNDDOWN(ROUND(AM5*L50,0)*P5,0)*H53,"")</f>
        <v>66490</v>
      </c>
      <c r="M51" s="989"/>
      <c r="N51" s="989"/>
      <c r="O51" s="989"/>
      <c r="P51" s="145" t="s">
        <v>2289</v>
      </c>
      <c r="Q51" s="1044">
        <f>IFERROR(ROUNDDOWN(ROUND(AM5*Q50,0)*P5,0)*H53,"")</f>
        <v>73138</v>
      </c>
      <c r="R51" s="989"/>
      <c r="S51" s="989"/>
      <c r="T51" s="989"/>
      <c r="U51" s="146" t="s">
        <v>2289</v>
      </c>
      <c r="V51" s="1045">
        <f>IFERROR(SUM(G51,L51,Q51),"")</f>
        <v>531918</v>
      </c>
      <c r="W51" s="1046"/>
      <c r="X51" s="1046"/>
      <c r="Y51" s="1046"/>
      <c r="Z51" s="147" t="s">
        <v>2289</v>
      </c>
      <c r="AB51" s="148"/>
      <c r="AC51" s="1044">
        <f>IFERROR(ROUNDDOWN(ROUND(AM5*AC50,0)*P5,0)*AD53,"")</f>
        <v>2992050</v>
      </c>
      <c r="AD51" s="989"/>
      <c r="AE51" s="989"/>
      <c r="AF51" s="989"/>
      <c r="AG51" s="989"/>
      <c r="AH51" s="146" t="s">
        <v>2289</v>
      </c>
      <c r="AS51" s="992">
        <f>IFERROR(ROUNDDOWN(ROUND(AM5*(G50-B10),0)*P5,0)*H53,"")</f>
        <v>106384</v>
      </c>
      <c r="AT51" s="992"/>
      <c r="AU51" s="992"/>
      <c r="AV51" s="992"/>
      <c r="AW51" s="992">
        <f>IFERROR(ROUNDDOWN(ROUND(AM5*(L50-G10),0)*P5,0)*H53,"")</f>
        <v>66490</v>
      </c>
      <c r="AX51" s="992"/>
      <c r="AY51" s="992"/>
      <c r="AZ51" s="992"/>
      <c r="BA51" s="992">
        <f>IFERROR(ROUNDDOWN(ROUND(AM5*(Q50-L10),0)*P5,0)*H53,"")</f>
        <v>0</v>
      </c>
      <c r="BB51" s="992"/>
      <c r="BC51" s="992"/>
      <c r="BD51" s="992"/>
      <c r="BE51" s="992">
        <f>IFERROR(ROUNDDOWN(ROUND(AM5*(AC50-Q10),0)*P5,0)*AD53,"")</f>
        <v>1196820</v>
      </c>
      <c r="BF51" s="992"/>
      <c r="BG51" s="992"/>
      <c r="BH51" s="992"/>
      <c r="BI51" s="992">
        <f>SUM(AS51:BH51)</f>
        <v>1369694</v>
      </c>
      <c r="BJ51" s="992"/>
      <c r="BK51" s="992"/>
      <c r="BL51" s="992"/>
      <c r="BM51" s="232"/>
      <c r="BN51" s="992">
        <f>IFERROR(ROUNDDOWN(ROUNDDOWN(ROUND(AM5*(VLOOKUP(Y5,【参考】数式用!$A$5:$AB$27,14,FALSE)),0)*P5,0)*AD53*0.5,0),"")</f>
        <v>1063840</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(196,145円/月)</v>
      </c>
      <c r="H52" s="991"/>
      <c r="I52" s="991"/>
      <c r="J52" s="991"/>
      <c r="K52" s="991"/>
      <c r="L52" s="991" t="str">
        <f>IFERROR("("&amp;TEXT(L51/H53,"#,##0円")&amp;"/月)","")</f>
        <v>(33,245円/月)</v>
      </c>
      <c r="M52" s="991"/>
      <c r="N52" s="991"/>
      <c r="O52" s="991"/>
      <c r="P52" s="991"/>
      <c r="Q52" s="991" t="str">
        <f>IFERROR("("&amp;TEXT(Q51/H53,"#,##0円")&amp;"/月)","")</f>
        <v>(36,569円/月)</v>
      </c>
      <c r="R52" s="991"/>
      <c r="S52" s="991"/>
      <c r="T52" s="991"/>
      <c r="U52" s="991"/>
      <c r="V52" s="991" t="str">
        <f>IFERROR("("&amp;TEXT(V51/H53,"#,##0円")&amp;"/月)","")</f>
        <v>(265,959円/月)</v>
      </c>
      <c r="W52" s="991"/>
      <c r="X52" s="991"/>
      <c r="Y52" s="991"/>
      <c r="Z52" s="991"/>
      <c r="AB52" s="148"/>
      <c r="AC52" s="1143" t="str">
        <f>IFERROR("("&amp;TEXT(AC51/AD53,"#,##0円")&amp;"/月)","")</f>
        <v>(299,205円/月)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f>IF(AND(B9&lt;&gt;"処遇加算なし",F15=4),IF(V21="✓",1,IF(V22="✓",2,"")),"")</f>
        <v>1</v>
      </c>
      <c r="AA57" s="236"/>
      <c r="AB57" s="240"/>
      <c r="AC57" s="993" t="s">
        <v>2203</v>
      </c>
      <c r="AD57" s="993"/>
      <c r="AE57" s="993"/>
      <c r="AF57" s="993"/>
      <c r="AG57" s="993"/>
      <c r="AH57" s="167">
        <v>0</v>
      </c>
      <c r="AI57" s="240"/>
      <c r="AJ57" s="240"/>
      <c r="AK57" s="993" t="s">
        <v>2203</v>
      </c>
      <c r="AL57" s="993"/>
      <c r="AM57" s="993"/>
      <c r="AN57" s="993"/>
      <c r="AO57" s="993"/>
      <c r="AP57" s="167">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f>IF(AND(B9&lt;&gt;"処遇加算なし",F15=4),IF(V24="✓",1,IF(V25="✓",2,IF(V26="✓",3,""))),"")</f>
        <v>1</v>
      </c>
      <c r="AA58" s="236"/>
      <c r="AB58" s="240"/>
      <c r="AC58" s="1117" t="s">
        <v>2204</v>
      </c>
      <c r="AD58" s="1117"/>
      <c r="AE58" s="1117"/>
      <c r="AF58" s="1117"/>
      <c r="AG58" s="1117"/>
      <c r="AH58" s="167">
        <v>1</v>
      </c>
      <c r="AI58" s="240"/>
      <c r="AJ58" s="240"/>
      <c r="AK58" s="1117" t="s">
        <v>2204</v>
      </c>
      <c r="AL58" s="1117"/>
      <c r="AM58" s="1117"/>
      <c r="AN58" s="1117"/>
      <c r="AO58" s="1117"/>
      <c r="AP58" s="167">
        <v>1</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f>IF(AND(B9&lt;&gt;"処遇加算なし",F15=4),IF(V28="✓",1,IF(V29="✓",2,IF(V30="✓",3,""))),"")</f>
        <v>1</v>
      </c>
      <c r="AA59" s="236"/>
      <c r="AB59" s="240"/>
      <c r="AC59" s="1117" t="s">
        <v>2205</v>
      </c>
      <c r="AD59" s="1117"/>
      <c r="AE59" s="1117"/>
      <c r="AF59" s="1117"/>
      <c r="AG59" s="1117"/>
      <c r="AH59" s="167">
        <v>1</v>
      </c>
      <c r="AI59" s="240"/>
      <c r="AJ59" s="240"/>
      <c r="AK59" s="1117" t="s">
        <v>2205</v>
      </c>
      <c r="AL59" s="1117"/>
      <c r="AM59" s="1117"/>
      <c r="AN59" s="1117"/>
      <c r="AO59" s="1117"/>
      <c r="AP59" s="167">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f>IF(AND(B9&lt;&gt;"処遇加算なし",F15=4),IF(V32="✓",1,IF(V33="✓",2,"")),"")</f>
        <v>2</v>
      </c>
      <c r="AA60" s="236"/>
      <c r="AB60" s="240"/>
      <c r="AC60" s="1117" t="s">
        <v>2206</v>
      </c>
      <c r="AD60" s="1117"/>
      <c r="AE60" s="1117"/>
      <c r="AF60" s="1117"/>
      <c r="AG60" s="1117"/>
      <c r="AH60" s="167">
        <v>2</v>
      </c>
      <c r="AI60" s="240"/>
      <c r="AJ60" s="240"/>
      <c r="AK60" s="1117" t="s">
        <v>2206</v>
      </c>
      <c r="AL60" s="1117"/>
      <c r="AM60" s="1117"/>
      <c r="AN60" s="1117"/>
      <c r="AO60" s="1117"/>
      <c r="AP60" s="167">
        <v>2</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f>IF(AND(B9&lt;&gt;"処遇加算なし",F15=4),IF(V36="✓",1,IF(V37="✓",2,"")),"")</f>
        <v>2</v>
      </c>
      <c r="AA61" s="236"/>
      <c r="AB61" s="240"/>
      <c r="AC61" s="1117" t="s">
        <v>2207</v>
      </c>
      <c r="AD61" s="1117"/>
      <c r="AE61" s="1117"/>
      <c r="AF61" s="1117"/>
      <c r="AG61" s="1117"/>
      <c r="AH61" s="167">
        <v>1</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v>2</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f>IF(AND(B9&lt;&gt;"処遇加算なし",F15=4),IF(V44="✓",1,IF(V45="✓",2,"")),"")</f>
        <v>2</v>
      </c>
      <c r="AA63" s="236"/>
      <c r="AB63" s="240"/>
      <c r="AC63" s="993" t="s">
        <v>2209</v>
      </c>
      <c r="AD63" s="993"/>
      <c r="AE63" s="993"/>
      <c r="AF63" s="993"/>
      <c r="AG63" s="993"/>
      <c r="AH63" s="167">
        <v>1</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2432</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千代田区・中央区・港区</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地域密着型通所介護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1334567892</v>
      </c>
      <c r="C5" s="1101"/>
      <c r="D5" s="1101"/>
      <c r="E5" s="1101"/>
      <c r="F5" s="1101"/>
      <c r="G5" s="1102" t="s">
        <v>2436</v>
      </c>
      <c r="H5" s="1102"/>
      <c r="I5" s="1102"/>
      <c r="J5" s="1103" t="s">
        <v>5</v>
      </c>
      <c r="K5" s="1103"/>
      <c r="L5" s="1103"/>
      <c r="M5" s="1104" t="s">
        <v>6</v>
      </c>
      <c r="N5" s="1104"/>
      <c r="O5" s="1104"/>
      <c r="P5" s="1105">
        <f>IF(Y5="","",IFERROR(INDEX(【参考】数式用3!$G$3:$I$451,MATCH(M5,【参考】数式用3!$F$3:$F$451,0),MATCH(VLOOKUP(Y5,【参考】数式用3!$J$2:$K$26,2,FALSE),【参考】数式用3!$G$2:$I$2,0)),10))</f>
        <v>10.9</v>
      </c>
      <c r="Q5" s="1106"/>
      <c r="R5" s="1106"/>
      <c r="S5" s="1107" t="s">
        <v>2435</v>
      </c>
      <c r="T5" s="1108"/>
      <c r="U5" s="1108"/>
      <c r="V5" s="1108"/>
      <c r="W5" s="1108"/>
      <c r="X5" s="1109"/>
      <c r="Y5" s="1123" t="s">
        <v>284</v>
      </c>
      <c r="Z5" s="1123"/>
      <c r="AA5" s="1123"/>
      <c r="AB5" s="1123"/>
      <c r="AC5" s="1123"/>
      <c r="AD5" s="1123"/>
      <c r="AE5" s="1129">
        <v>325000</v>
      </c>
      <c r="AF5" s="1130"/>
      <c r="AG5" s="1130"/>
      <c r="AH5" s="1131"/>
      <c r="AI5" s="1129">
        <v>0</v>
      </c>
      <c r="AJ5" s="1130"/>
      <c r="AK5" s="1130"/>
      <c r="AL5" s="1131"/>
      <c r="AM5" s="1132">
        <f>AE5-AI5</f>
        <v>325000</v>
      </c>
      <c r="AN5" s="1133"/>
      <c r="AO5" s="1133"/>
      <c r="AP5" s="1134"/>
      <c r="AS5" s="180"/>
      <c r="AT5" s="988"/>
      <c r="AU5" s="988"/>
      <c r="AV5" s="988"/>
      <c r="AW5" s="988"/>
      <c r="AX5" s="988"/>
      <c r="AY5" s="988"/>
      <c r="AZ5" s="988"/>
      <c r="BA5" s="181"/>
      <c r="CE5" s="965" t="s">
        <v>2386</v>
      </c>
      <c r="CF5" s="965"/>
      <c r="CG5" s="965"/>
      <c r="CH5" s="965"/>
      <c r="CI5" s="973">
        <f>IF(OR(G49="処遇加算Ⅰ",AS48="処遇加算Ⅰ"),1,"")</f>
        <v>1</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1</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10</v>
      </c>
      <c r="G15" s="197" t="s">
        <v>2284</v>
      </c>
      <c r="H15" s="1030" t="s">
        <v>2285</v>
      </c>
      <c r="I15" s="1030"/>
      <c r="J15" s="1043"/>
      <c r="K15" s="144">
        <v>7</v>
      </c>
      <c r="L15" s="197" t="s">
        <v>2283</v>
      </c>
      <c r="M15" s="144">
        <v>3</v>
      </c>
      <c r="N15" s="197" t="s">
        <v>2284</v>
      </c>
      <c r="O15" s="197" t="s">
        <v>2286</v>
      </c>
      <c r="P15" s="198">
        <f>(K15*12+M15)-(D15*12+F15)+1</f>
        <v>6</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
      </c>
      <c r="AD20" s="968"/>
      <c r="AE20" s="968"/>
      <c r="AF20" s="968"/>
      <c r="AG20" s="968"/>
      <c r="AH20" s="968"/>
      <c r="AI20" s="188"/>
      <c r="AJ20" s="188"/>
      <c r="AK20" s="968" t="str">
        <f>IF(OR(F15=4,F15=5),"R6.6","R"&amp;D15&amp;"."&amp;F15)&amp;"～R"&amp;K15&amp;"."&amp;M15</f>
        <v>R6.10～R7.3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v>1</v>
      </c>
      <c r="AH37" s="1159"/>
      <c r="AI37" s="1000"/>
      <c r="AJ37" s="1001"/>
      <c r="AK37" s="1156" t="s">
        <v>2369</v>
      </c>
      <c r="AL37" s="1157"/>
      <c r="AM37" s="1157"/>
      <c r="AN37" s="1157"/>
      <c r="AO37" s="1158">
        <v>1</v>
      </c>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サービス提供体制強化加算Ⅰ、Ⅱ、Ⅲイまたはロを算定する。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t="s">
        <v>2271</v>
      </c>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R6.10～R7.3</v>
      </c>
      <c r="AD48" s="1003"/>
      <c r="AE48" s="1003"/>
      <c r="AF48" s="1003"/>
      <c r="AG48" s="1003"/>
      <c r="AH48" s="1003"/>
      <c r="AS48" s="994" t="str">
        <f>IFERROR(IF(AND(OR(AP58=1,AP58=2),OR(AP59=1,AP59=2),OR(AP60=1,AP60=2)),"処遇加算Ⅰ",IF(AND(OR(AP58=1,AP58=2),OR(AP59=1,AP59=2),OR(AP60=0,AP60=3)),"処遇加算Ⅱ",IF(OR(OR(AP58=1,AP58=2),OR(AP59=1,AP59=2)),"処遇加算Ⅲ",""))),"")</f>
        <v>処遇加算Ⅰ</v>
      </c>
      <c r="AT48" s="994"/>
      <c r="AU48" s="994"/>
      <c r="AV48" s="994"/>
      <c r="AW48" s="994" t="str">
        <f>IFERROR(IF(AND(OR(AP61=1,AP61=2),AP62=1,AP63=1),"特定加算Ⅰ",IF(AND(OR(AP61=1,AP61=2),AP62=2,AP63=1),"特定加算Ⅱ",IF(OR(AP61=3,AP62=2,AP63=2),"特定加算なし",""))),"")</f>
        <v>特定加算Ⅱ</v>
      </c>
      <c r="AX48" s="994"/>
      <c r="AY48" s="994"/>
      <c r="AZ48" s="994"/>
      <c r="BA48" s="994" t="str">
        <f>IFERROR(IF(OR(L9="ベア加算",AP57=1),"ベア加算",IF(AP57=2,"ベア加算なし","")),"")</f>
        <v>ベア加算</v>
      </c>
      <c r="BB48" s="994"/>
      <c r="BC48" s="994"/>
      <c r="BD48" s="994"/>
      <c r="BE48" s="1118" t="str">
        <f>AS48&amp;AW48&amp;BA48</f>
        <v>処遇加算Ⅰ特定加算Ⅱベア加算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新加算Ⅱ</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f>IFERROR(VLOOKUP(Y5,【参考】数式用!$A$5:$AB$27,MATCH(AC49,【参考】数式用!$B$4:$AB$4,0)+1,FALSE),"")</f>
        <v>8.9999999999999983E-2</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6"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f>IFERROR(ROUNDDOWN(ROUND(AM5*AC50,0)*P5,0)*AD53,"")</f>
        <v>1912950</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f>IFERROR(ROUNDDOWN(ROUND(AM5*(AC50-Q10),0)*P5,0)*AD53,"")</f>
        <v>1912950</v>
      </c>
      <c r="BF51" s="992"/>
      <c r="BG51" s="992"/>
      <c r="BH51" s="992"/>
      <c r="BI51" s="992">
        <f>SUM(AS51:BH51)</f>
        <v>1912950</v>
      </c>
      <c r="BJ51" s="992"/>
      <c r="BK51" s="992"/>
      <c r="BL51" s="992"/>
      <c r="BM51" s="232"/>
      <c r="BN51" s="992">
        <f>IFERROR(ROUNDDOWN(ROUNDDOWN(ROUND(AM5*(VLOOKUP(Y5,【参考】数式用!$A$5:$AB$27,14,FALSE)),0)*P5,0)*AD53*0.5,0),"")</f>
        <v>680160</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
      </c>
      <c r="W52" s="991"/>
      <c r="X52" s="991"/>
      <c r="Y52" s="991"/>
      <c r="Z52" s="991"/>
      <c r="AB52" s="148"/>
      <c r="AC52" s="1143" t="str">
        <f>IFERROR("("&amp;TEXT(AC51/AD53,"#,##0円")&amp;"/月)","")</f>
        <v>(318,825円/月)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t="str">
        <f>IF(F15=4,2,IF(F15=5,1,""))</f>
        <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6</v>
      </c>
      <c r="AE53" s="238" t="s">
        <v>2290</v>
      </c>
      <c r="AF53" s="238"/>
      <c r="AG53" s="238"/>
      <c r="AH53" s="238"/>
    </row>
    <row r="54" spans="2:86" ht="6" customHeight="1">
      <c r="BX54" s="239"/>
    </row>
    <row r="55" spans="2:86" ht="18" customHeight="1"/>
    <row r="56" spans="2:86" ht="23.25" customHeight="1">
      <c r="U56" s="1118" t="s">
        <v>244</v>
      </c>
      <c r="V56" s="1118"/>
      <c r="W56" s="1118"/>
      <c r="X56" s="1118"/>
      <c r="Y56" s="1118"/>
      <c r="Z56" s="1118"/>
      <c r="AA56" s="236"/>
      <c r="AB56" s="240"/>
      <c r="AC56" s="1118" t="str">
        <f>IF(F15=4,"R6.4～R6.5",IF(F15=5,"R6.5",""))</f>
        <v/>
      </c>
      <c r="AD56" s="1118"/>
      <c r="AE56" s="1118"/>
      <c r="AF56" s="1118"/>
      <c r="AG56" s="1118"/>
      <c r="AH56" s="1118"/>
      <c r="AI56" s="241"/>
      <c r="AJ56" s="240"/>
      <c r="AK56" s="1118" t="str">
        <f>IF(OR(F15=4,F15=5),"R6.6","R"&amp;D15&amp;"."&amp;F15)&amp;"～R"&amp;K15&amp;"."&amp;M15</f>
        <v>R6.10～R7.3</v>
      </c>
      <c r="AL56" s="1118"/>
      <c r="AM56" s="1118"/>
      <c r="AN56" s="1118"/>
      <c r="AO56" s="1118"/>
      <c r="AP56" s="1118"/>
      <c r="AQ56" s="236"/>
      <c r="AR56" s="236"/>
      <c r="AS56" s="1142" t="s">
        <v>2420</v>
      </c>
      <c r="AT56" s="1142"/>
      <c r="AU56" s="1142"/>
      <c r="AV56" s="1142"/>
      <c r="AW56" s="1142" t="s">
        <v>2419</v>
      </c>
      <c r="AX56" s="1142"/>
      <c r="AY56" s="1142"/>
      <c r="AZ56" s="1142"/>
    </row>
    <row r="57" spans="2:86"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v>1</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0</v>
      </c>
      <c r="AI58" s="240"/>
      <c r="AJ58" s="240"/>
      <c r="AK58" s="1117" t="s">
        <v>2204</v>
      </c>
      <c r="AL58" s="1117"/>
      <c r="AM58" s="1117"/>
      <c r="AN58" s="1117"/>
      <c r="AO58" s="1117"/>
      <c r="AP58" s="167">
        <v>2</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0</v>
      </c>
      <c r="AI59" s="240"/>
      <c r="AJ59" s="240"/>
      <c r="AK59" s="1117" t="s">
        <v>2205</v>
      </c>
      <c r="AL59" s="1117"/>
      <c r="AM59" s="1117"/>
      <c r="AN59" s="1117"/>
      <c r="AO59" s="1117"/>
      <c r="AP59" s="167">
        <v>2</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0</v>
      </c>
      <c r="AI60" s="240"/>
      <c r="AJ60" s="240"/>
      <c r="AK60" s="1117" t="s">
        <v>2206</v>
      </c>
      <c r="AL60" s="1117"/>
      <c r="AM60" s="1117"/>
      <c r="AN60" s="1117"/>
      <c r="AO60" s="1117"/>
      <c r="AP60" s="167">
        <v>2</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0</v>
      </c>
      <c r="AI61" s="240"/>
      <c r="AJ61" s="240"/>
      <c r="AK61" s="1117" t="s">
        <v>2207</v>
      </c>
      <c r="AL61" s="1117"/>
      <c r="AM61" s="1117"/>
      <c r="AN61" s="1117"/>
      <c r="AO61" s="1117"/>
      <c r="AP61" s="167">
        <v>1</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0</v>
      </c>
      <c r="AI62" s="240"/>
      <c r="AJ62" s="240"/>
      <c r="AK62" s="1117" t="s">
        <v>2208</v>
      </c>
      <c r="AL62" s="1117"/>
      <c r="AM62" s="1117"/>
      <c r="AN62" s="1117"/>
      <c r="AO62" s="1117"/>
      <c r="AP62" s="167">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0</v>
      </c>
      <c r="AI63" s="240"/>
      <c r="AJ63" s="240"/>
      <c r="AK63" s="993" t="s">
        <v>2209</v>
      </c>
      <c r="AL63" s="993"/>
      <c r="AM63" s="993"/>
      <c r="AN63" s="993"/>
      <c r="AO63" s="993"/>
      <c r="AP63" s="167">
        <v>1</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2424</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中央区</v>
      </c>
      <c r="AJ1" s="964"/>
      <c r="AK1" s="964"/>
      <c r="AL1" s="964"/>
      <c r="AM1" s="964"/>
      <c r="AN1" s="964"/>
      <c r="AO1" s="964"/>
      <c r="AP1" s="964"/>
      <c r="AS1" s="1152" t="str">
        <f>B9&amp;G9&amp;L9</f>
        <v>処遇加算Ⅲ特定加算なしベア加算なし</v>
      </c>
      <c r="AT1" s="1153"/>
      <c r="AU1" s="1153"/>
      <c r="AV1" s="1153"/>
      <c r="AW1" s="1153"/>
      <c r="AX1" s="1153"/>
      <c r="AY1" s="1153"/>
      <c r="AZ1" s="1153"/>
      <c r="BA1" s="1153"/>
      <c r="BB1" s="1153"/>
      <c r="BC1" s="1153"/>
      <c r="BD1" s="1153"/>
      <c r="BE1" s="1154"/>
      <c r="BF1" s="1151" t="str">
        <f>IFERROR(VLOOKUP(Y5,【参考】数式用!$AJ$2:$AK$24,2,FALSE),"")</f>
        <v>介護予防_小規模多機能型居宅介護</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f>IF(AI1&lt;&gt;"",1,"")</f>
        <v>1</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f>IF(OR(OR(G49="処遇加算Ⅰ",G49="処遇加算Ⅱ"),OR(AS48="処遇加算Ⅰ",AS48="処遇加算Ⅱ")),1,"")</f>
        <v>1</v>
      </c>
      <c r="CJ4" s="974"/>
    </row>
    <row r="5" spans="1:88" ht="33" customHeight="1">
      <c r="B5" s="1101">
        <v>1334567893</v>
      </c>
      <c r="C5" s="1101"/>
      <c r="D5" s="1101"/>
      <c r="E5" s="1101"/>
      <c r="F5" s="1101"/>
      <c r="G5" s="1102" t="s">
        <v>2433</v>
      </c>
      <c r="H5" s="1102"/>
      <c r="I5" s="1102"/>
      <c r="J5" s="1103" t="s">
        <v>5</v>
      </c>
      <c r="K5" s="1103"/>
      <c r="L5" s="1103"/>
      <c r="M5" s="1104" t="s">
        <v>1320</v>
      </c>
      <c r="N5" s="1104"/>
      <c r="O5" s="1104"/>
      <c r="P5" s="1105">
        <f>IF(Y5="","",IFERROR(INDEX(【参考】数式用3!$G$3:$I$451,MATCH(M5,【参考】数式用3!$F$3:$F$451,0),MATCH(VLOOKUP(Y5,【参考】数式用3!$J$2:$K$26,2,FALSE),【参考】数式用3!$G$2:$I$2,0)),10))</f>
        <v>11.1</v>
      </c>
      <c r="Q5" s="1106"/>
      <c r="R5" s="1106"/>
      <c r="S5" s="1107" t="s">
        <v>2434</v>
      </c>
      <c r="T5" s="1108"/>
      <c r="U5" s="1108"/>
      <c r="V5" s="1108"/>
      <c r="W5" s="1108"/>
      <c r="X5" s="1109"/>
      <c r="Y5" s="1123" t="s">
        <v>292</v>
      </c>
      <c r="Z5" s="1123"/>
      <c r="AA5" s="1123"/>
      <c r="AB5" s="1123"/>
      <c r="AC5" s="1123"/>
      <c r="AD5" s="1123"/>
      <c r="AE5" s="1129">
        <v>425000</v>
      </c>
      <c r="AF5" s="1130"/>
      <c r="AG5" s="1130"/>
      <c r="AH5" s="1131"/>
      <c r="AI5" s="1129">
        <v>80000</v>
      </c>
      <c r="AJ5" s="1130"/>
      <c r="AK5" s="1130"/>
      <c r="AL5" s="1131"/>
      <c r="AM5" s="1132">
        <f>AE5-AI5</f>
        <v>345000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新加算Ⅳ</v>
      </c>
      <c r="W8" s="1111"/>
      <c r="X8" s="1111"/>
      <c r="Y8" s="1111"/>
      <c r="Z8" s="1112"/>
      <c r="AA8" s="1125"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t="s">
        <v>268</v>
      </c>
      <c r="C9" s="1072"/>
      <c r="D9" s="1072"/>
      <c r="E9" s="1072"/>
      <c r="F9" s="1073"/>
      <c r="G9" s="1074" t="s">
        <v>13</v>
      </c>
      <c r="H9" s="1075"/>
      <c r="I9" s="1075"/>
      <c r="J9" s="1075"/>
      <c r="K9" s="1076"/>
      <c r="L9" s="1077" t="s">
        <v>11</v>
      </c>
      <c r="M9" s="1078"/>
      <c r="N9" s="1078"/>
      <c r="O9" s="1078"/>
      <c r="P9" s="1079"/>
      <c r="Q9" s="1066" t="s">
        <v>2200</v>
      </c>
      <c r="R9" s="1067"/>
      <c r="S9" s="1067"/>
      <c r="T9" s="1000"/>
      <c r="U9" s="1001"/>
      <c r="V9" s="1113">
        <f>IFERROR(VLOOKUP(Y5,【参考】数式用!$A$5:$AB$27,MATCH(V8,【参考】数式用!$B$4:$AB$4,0)+1,FALSE),"")</f>
        <v>0.106</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f>IFERROR(VLOOKUP(Y5,【参考】数式用!$A$5:$J$27,MATCH(B9,【参考】数式用!$B$4:$J$4,0)+1,0),"")</f>
        <v>4.1000000000000002E-2</v>
      </c>
      <c r="C10" s="1081"/>
      <c r="D10" s="1081"/>
      <c r="E10" s="1081"/>
      <c r="F10" s="1082"/>
      <c r="G10" s="1080">
        <f>IFERROR(VLOOKUP(Y5,【参考】数式用!$A$5:$J$27,MATCH(G9,【参考】数式用!$B$4:$J$4,0)+1,0),"")</f>
        <v>0</v>
      </c>
      <c r="H10" s="1081"/>
      <c r="I10" s="1081"/>
      <c r="J10" s="1081"/>
      <c r="K10" s="1082"/>
      <c r="L10" s="1080">
        <f>IFERROR(VLOOKUP(Y5,【参考】数式用!$A$5:$J$27,MATCH(L9,【参考】数式用!$B$4:$J$4,0)+1,0),"")</f>
        <v>0</v>
      </c>
      <c r="M10" s="1081"/>
      <c r="N10" s="1081"/>
      <c r="O10" s="1081"/>
      <c r="P10" s="1082"/>
      <c r="Q10" s="995">
        <f>SUM(B10,G10,L10)</f>
        <v>4.1000000000000002E-2</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新加算Ⅴ(11)</v>
      </c>
      <c r="W11" s="1100"/>
      <c r="X11" s="1100"/>
      <c r="Y11" s="1100"/>
      <c r="Z11" s="1100"/>
      <c r="AA11" s="112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99"/>
      <c r="D12" s="1099"/>
      <c r="E12" s="1099"/>
      <c r="F12" s="1099"/>
      <c r="G12" s="1099"/>
      <c r="H12" s="1099"/>
      <c r="I12" s="1099"/>
      <c r="J12" s="1099"/>
      <c r="K12" s="1099"/>
      <c r="L12" s="1099"/>
      <c r="M12" s="1099"/>
      <c r="N12" s="1099"/>
      <c r="O12" s="1099"/>
      <c r="P12" s="1099"/>
      <c r="Q12" s="1099"/>
      <c r="R12" s="1099"/>
      <c r="S12" s="1099"/>
      <c r="T12" s="1002"/>
      <c r="U12" s="1001"/>
      <c r="V12" s="1119">
        <f>IFERROR(VLOOKUP(Y5,【参考】数式用!$A$5:$AB$27,MATCH(V11,【参考】数式用!$B$4:$AB$4,0)+1,FALSE),"")</f>
        <v>8.8999999999999996E-2</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新加算Ⅴ(14)</v>
      </c>
      <c r="W14" s="1100"/>
      <c r="X14" s="1100"/>
      <c r="Y14" s="1100"/>
      <c r="Z14" s="1100"/>
      <c r="AA14" s="113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f>IFERROR(VLOOKUP(Y5,【参考】数式用!$A$5:$AB$27,MATCH(V14,【参考】数式用!$B$4:$AB$4,0)+1,FALSE),"")</f>
        <v>5.6000000000000001E-2</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！R7年度以降、いずれの区分でも必要になる上、R6.4時点でのベア加算の算定がR6.2-5の補助金の要件となるため、早期の対応を推奨。</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サービス提供体制強化加算ⅠまたはⅡを算定する。</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処遇加算Ⅱ</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ベア加算</v>
      </c>
      <c r="BB48" s="994"/>
      <c r="BC48" s="994"/>
      <c r="BD48" s="994"/>
      <c r="BE48" s="1118" t="str">
        <f>AS48&amp;AW48&amp;BA48</f>
        <v>処遇加算Ⅱ特定加算なしベア加算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処遇加算Ⅱ</v>
      </c>
      <c r="H49" s="1005"/>
      <c r="I49" s="1005"/>
      <c r="J49" s="1005"/>
      <c r="K49" s="1006"/>
      <c r="L49" s="1004" t="str">
        <f>IFERROR(IF(G9="","",IF(AND(OR(AH61=1,AH61=2),AH62=1,AH63=1),"特定加算Ⅰ",IF(AND(OR(AH61=1,AH61=2),AH62=2,AH63=1),"特定加算Ⅱ",IF(OR(AH61=3,AH62=2,AH63=2),"特定加算なし","")))),"")</f>
        <v>特定加算なし</v>
      </c>
      <c r="M49" s="1005"/>
      <c r="N49" s="1005"/>
      <c r="O49" s="1005"/>
      <c r="P49" s="1047"/>
      <c r="Q49" s="1048" t="str">
        <f>IFERROR(IF(OR(L9="ベア加算",AND(L9="ベア加算なし",AH57=1)),"ベア加算",IF(AH57=2,"ベア加算なし","")),"")</f>
        <v>ベア加算</v>
      </c>
      <c r="R49" s="1005"/>
      <c r="S49" s="1005"/>
      <c r="T49" s="1005"/>
      <c r="U49" s="1047"/>
      <c r="V49" s="1049" t="s">
        <v>12</v>
      </c>
      <c r="W49" s="1050"/>
      <c r="X49" s="1050"/>
      <c r="Y49" s="1050"/>
      <c r="Z49" s="1050"/>
      <c r="AA49" s="1002"/>
      <c r="AB49" s="1002"/>
      <c r="AC49" s="1145" t="str">
        <f>IFERROR(VLOOKUP(BE48,【参考】数式用2!E6:F23,2,FALSE),"")</f>
        <v>新加算Ⅳ</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f>IFERROR(VLOOKUP(Y5,【参考】数式用!$A$5:$J$27,MATCH(G49,【参考】数式用!$B$4:$J$4,0)+1,0),"")</f>
        <v>7.3999999999999996E-2</v>
      </c>
      <c r="H50" s="1062"/>
      <c r="I50" s="1062"/>
      <c r="J50" s="1062"/>
      <c r="K50" s="1063"/>
      <c r="L50" s="1061">
        <f>IFERROR(VLOOKUP(Y5,【参考】数式用!$A$5:$J$27,MATCH(L49,【参考】数式用!$B$4:$J$4,0)+1,0),"")</f>
        <v>0</v>
      </c>
      <c r="M50" s="1062"/>
      <c r="N50" s="1062"/>
      <c r="O50" s="1062"/>
      <c r="P50" s="1064"/>
      <c r="Q50" s="1065">
        <f>IFERROR(VLOOKUP(Y5,【参考】数式用!$A$5:$J$27,MATCH(Q49,【参考】数式用!$B$4:$J$4,0)+1,0),"")</f>
        <v>1.7000000000000001E-2</v>
      </c>
      <c r="R50" s="1062"/>
      <c r="S50" s="1062"/>
      <c r="T50" s="1062"/>
      <c r="U50" s="1064"/>
      <c r="V50" s="995">
        <f>SUM(G50,L50,Q50)</f>
        <v>9.0999999999999998E-2</v>
      </c>
      <c r="W50" s="996"/>
      <c r="X50" s="996"/>
      <c r="Y50" s="996"/>
      <c r="Z50" s="996"/>
      <c r="AA50" s="1002"/>
      <c r="AB50" s="1002"/>
      <c r="AC50" s="997">
        <f>IFERROR(VLOOKUP(Y5,【参考】数式用!$A$5:$AB$27,MATCH(AC49,【参考】数式用!$B$4:$AB$4,0)+1,FALSE),"")</f>
        <v>0.106</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f>IFERROR(ROUNDDOWN(ROUND(AM5*G50,0)*P5,0)*H53,"")</f>
        <v>566766</v>
      </c>
      <c r="H51" s="989"/>
      <c r="I51" s="989"/>
      <c r="J51" s="989"/>
      <c r="K51" s="145" t="s">
        <v>2289</v>
      </c>
      <c r="L51" s="1044">
        <f>IFERROR(ROUNDDOWN(ROUND(AM5*L50,0)*P5,0)*H53,"")</f>
        <v>0</v>
      </c>
      <c r="M51" s="989"/>
      <c r="N51" s="989"/>
      <c r="O51" s="989"/>
      <c r="P51" s="145" t="s">
        <v>2289</v>
      </c>
      <c r="Q51" s="1044">
        <f>IFERROR(ROUNDDOWN(ROUND(AM5*Q50,0)*P5,0)*H53,"")</f>
        <v>130202</v>
      </c>
      <c r="R51" s="989"/>
      <c r="S51" s="989"/>
      <c r="T51" s="989"/>
      <c r="U51" s="146" t="s">
        <v>2289</v>
      </c>
      <c r="V51" s="1045">
        <f>IFERROR(SUM(G51,L51,Q51),"")</f>
        <v>696968</v>
      </c>
      <c r="W51" s="1046"/>
      <c r="X51" s="1046"/>
      <c r="Y51" s="1046"/>
      <c r="Z51" s="147" t="s">
        <v>2289</v>
      </c>
      <c r="AB51" s="148"/>
      <c r="AC51" s="1044">
        <f>IFERROR(ROUNDDOWN(ROUND(AM5*AC50,0)*P5,0)*AD53,"")</f>
        <v>4059270</v>
      </c>
      <c r="AD51" s="989"/>
      <c r="AE51" s="989"/>
      <c r="AF51" s="989"/>
      <c r="AG51" s="989"/>
      <c r="AH51" s="146" t="s">
        <v>2289</v>
      </c>
      <c r="AS51" s="992">
        <f>IFERROR(ROUNDDOWN(ROUND(AM5*(G50-B10),0)*P5,0)*H53,"")</f>
        <v>252746</v>
      </c>
      <c r="AT51" s="992"/>
      <c r="AU51" s="992"/>
      <c r="AV51" s="992"/>
      <c r="AW51" s="992">
        <f>IFERROR(ROUNDDOWN(ROUND(AM5*(L50-G10),0)*P5,0)*H53,"")</f>
        <v>0</v>
      </c>
      <c r="AX51" s="992"/>
      <c r="AY51" s="992"/>
      <c r="AZ51" s="992"/>
      <c r="BA51" s="992">
        <f>IFERROR(ROUNDDOWN(ROUND(AM5*(Q50-L10),0)*P5,0)*H53,"")</f>
        <v>130202</v>
      </c>
      <c r="BB51" s="992"/>
      <c r="BC51" s="992"/>
      <c r="BD51" s="992"/>
      <c r="BE51" s="992">
        <f>IFERROR(ROUNDDOWN(ROUND(AM5*(AC50-Q10),0)*P5,0)*AD53,"")</f>
        <v>2489170</v>
      </c>
      <c r="BF51" s="992"/>
      <c r="BG51" s="992"/>
      <c r="BH51" s="992"/>
      <c r="BI51" s="992">
        <f>SUM(AS51:BH51)</f>
        <v>2872118</v>
      </c>
      <c r="BJ51" s="992"/>
      <c r="BK51" s="992"/>
      <c r="BL51" s="992"/>
      <c r="BM51" s="232"/>
      <c r="BN51" s="992">
        <f>IFERROR(ROUNDDOWN(ROUNDDOWN(ROUND(AM5*(VLOOKUP(Y5,【参考】数式用!$A$5:$AB$27,14,FALSE)),0)*P5,0)*AD53*0.5,0),"")</f>
        <v>2029635</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(283,383円/月)</v>
      </c>
      <c r="H52" s="991"/>
      <c r="I52" s="991"/>
      <c r="J52" s="991"/>
      <c r="K52" s="991"/>
      <c r="L52" s="991" t="str">
        <f>IFERROR("("&amp;TEXT(L51/H53,"#,##0円")&amp;"/月)","")</f>
        <v>(0円/月)</v>
      </c>
      <c r="M52" s="991"/>
      <c r="N52" s="991"/>
      <c r="O52" s="991"/>
      <c r="P52" s="991"/>
      <c r="Q52" s="991" t="str">
        <f>IFERROR("("&amp;TEXT(Q51/H53,"#,##0円")&amp;"/月)","")</f>
        <v>(65,101円/月)</v>
      </c>
      <c r="R52" s="991"/>
      <c r="S52" s="991"/>
      <c r="T52" s="991"/>
      <c r="U52" s="991"/>
      <c r="V52" s="991" t="str">
        <f>IFERROR("("&amp;TEXT(V51/H53,"#,##0円")&amp;"/月)","")</f>
        <v>(348,484円/月)</v>
      </c>
      <c r="W52" s="991"/>
      <c r="X52" s="991"/>
      <c r="Y52" s="991"/>
      <c r="Z52" s="991"/>
      <c r="AB52" s="148"/>
      <c r="AC52" s="1143" t="str">
        <f>IFERROR("("&amp;TEXT(AC51/AD53,"#,##0円")&amp;"/月)","")</f>
        <v>(405,927円/月)</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f>IF(AND(B9&lt;&gt;"処遇加算なし",F15=4),IF(V21="✓",1,IF(V22="✓",2,"")),"")</f>
        <v>2</v>
      </c>
      <c r="AA57" s="236"/>
      <c r="AB57" s="240"/>
      <c r="AC57" s="993" t="s">
        <v>2203</v>
      </c>
      <c r="AD57" s="993"/>
      <c r="AE57" s="993"/>
      <c r="AF57" s="993"/>
      <c r="AG57" s="993"/>
      <c r="AH57" s="167">
        <f>IF(AND(F15&lt;&gt;4,F15&lt;&gt;5),0,IF(AT8="○",1,0))</f>
        <v>1</v>
      </c>
      <c r="AI57" s="240"/>
      <c r="AJ57" s="240"/>
      <c r="AK57" s="993" t="s">
        <v>2203</v>
      </c>
      <c r="AL57" s="993"/>
      <c r="AM57" s="993"/>
      <c r="AN57" s="993"/>
      <c r="AO57" s="993"/>
      <c r="AP57" s="167">
        <f>IF(AT8="○",1,0)</f>
        <v>1</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5" customHeight="1">
      <c r="U58" s="1117" t="s">
        <v>2204</v>
      </c>
      <c r="V58" s="1117"/>
      <c r="W58" s="1117"/>
      <c r="X58" s="1117"/>
      <c r="Y58" s="1117"/>
      <c r="Z58" s="243">
        <f>IF(AND(B9&lt;&gt;"処遇加算なし",F15=4),IF(V24="✓",1,IF(V25="✓",2,IF(V26="✓",3,""))),"")</f>
        <v>2</v>
      </c>
      <c r="AA58" s="236"/>
      <c r="AB58" s="240"/>
      <c r="AC58" s="1117" t="s">
        <v>2204</v>
      </c>
      <c r="AD58" s="1117"/>
      <c r="AE58" s="1117"/>
      <c r="AF58" s="1117"/>
      <c r="AG58" s="1117"/>
      <c r="AH58" s="167">
        <v>2</v>
      </c>
      <c r="AI58" s="240"/>
      <c r="AJ58" s="240"/>
      <c r="AK58" s="1117" t="s">
        <v>2204</v>
      </c>
      <c r="AL58" s="1117"/>
      <c r="AM58" s="1117"/>
      <c r="AN58" s="1117"/>
      <c r="AO58" s="1117"/>
      <c r="AP58" s="167">
        <v>2</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5" customHeight="1">
      <c r="U59" s="1117" t="s">
        <v>2205</v>
      </c>
      <c r="V59" s="1117"/>
      <c r="W59" s="1117"/>
      <c r="X59" s="1117"/>
      <c r="Y59" s="1117"/>
      <c r="Z59" s="243">
        <f>IF(AND(B9&lt;&gt;"処遇加算なし",F15=4),IF(V28="✓",1,IF(V29="✓",2,IF(V30="✓",3,""))),"")</f>
        <v>2</v>
      </c>
      <c r="AA59" s="236"/>
      <c r="AB59" s="240"/>
      <c r="AC59" s="1117" t="s">
        <v>2205</v>
      </c>
      <c r="AD59" s="1117"/>
      <c r="AE59" s="1117"/>
      <c r="AF59" s="1117"/>
      <c r="AG59" s="1117"/>
      <c r="AH59" s="167">
        <v>1</v>
      </c>
      <c r="AI59" s="240"/>
      <c r="AJ59" s="240"/>
      <c r="AK59" s="1117" t="s">
        <v>2205</v>
      </c>
      <c r="AL59" s="1117"/>
      <c r="AM59" s="1117"/>
      <c r="AN59" s="1117"/>
      <c r="AO59" s="1117"/>
      <c r="AP59" s="167">
        <f>IF(AV8="○",1,3)</f>
        <v>1</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5" customHeight="1">
      <c r="U60" s="1117" t="s">
        <v>2206</v>
      </c>
      <c r="V60" s="1117"/>
      <c r="W60" s="1117"/>
      <c r="X60" s="1117"/>
      <c r="Y60" s="1117"/>
      <c r="Z60" s="243">
        <f>IF(AND(B9&lt;&gt;"処遇加算なし",F15=4),IF(V32="✓",1,IF(V33="✓",2,"")),"")</f>
        <v>2</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5" customHeight="1">
      <c r="U61" s="1117" t="s">
        <v>2207</v>
      </c>
      <c r="V61" s="1117"/>
      <c r="W61" s="1117"/>
      <c r="X61" s="1117"/>
      <c r="Y61" s="1117"/>
      <c r="Z61" s="243">
        <f>IF(AND(B9&lt;&gt;"処遇加算なし",F15=4),IF(V36="✓",1,IF(V37="✓",2,"")),"")</f>
        <v>2</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5" customHeight="1">
      <c r="U62" s="1117" t="s">
        <v>2208</v>
      </c>
      <c r="V62" s="1117"/>
      <c r="W62" s="1117"/>
      <c r="X62" s="1117"/>
      <c r="Y62" s="1117"/>
      <c r="Z62" s="243">
        <f>IF(AND(B9&lt;&gt;"処遇加算なし",F15=4),IF(V40="✓",1,IF(V41="✓",2,"")),"")</f>
        <v>2</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5" customHeight="1">
      <c r="U63" s="993" t="s">
        <v>2209</v>
      </c>
      <c r="V63" s="993"/>
      <c r="W63" s="993"/>
      <c r="X63" s="993"/>
      <c r="Y63" s="993"/>
      <c r="Z63" s="243">
        <f>IF(AND(B9&lt;&gt;"処遇加算なし",F15=4),IF(V44="✓",1,IF(V45="✓",2,"")),"")</f>
        <v>2</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2425</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4"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4"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4"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4"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4"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4"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2426</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4"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4"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2427</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2292</v>
      </c>
      <c r="M1" s="170"/>
      <c r="N1" s="1116" t="s">
        <v>2428</v>
      </c>
      <c r="O1" s="1116"/>
      <c r="P1" s="1116"/>
      <c r="Q1" s="1116"/>
      <c r="R1" s="1116"/>
      <c r="S1" s="1116"/>
      <c r="T1" s="1116"/>
      <c r="U1" s="1116"/>
      <c r="V1" s="1116"/>
      <c r="W1" s="1116"/>
      <c r="X1" s="1116"/>
      <c r="Y1" s="1116"/>
      <c r="Z1" s="1116"/>
      <c r="AA1" s="1116"/>
      <c r="AB1" s="1116"/>
      <c r="AC1" s="1116"/>
      <c r="AD1" s="1116"/>
      <c r="AE1" s="1116"/>
      <c r="AF1" s="963" t="s">
        <v>29</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2390</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2393</v>
      </c>
      <c r="CF2" s="965"/>
      <c r="CG2" s="965"/>
      <c r="CH2" s="965"/>
      <c r="CI2" s="966" t="str">
        <f>IF(AI1&lt;&gt;"",1,"")</f>
        <v/>
      </c>
      <c r="CJ2" s="96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5" t="s">
        <v>2387</v>
      </c>
      <c r="CF3" s="965"/>
      <c r="CG3" s="965"/>
      <c r="CH3" s="965"/>
      <c r="CI3" s="971" t="str">
        <f>IF(AND(L9="ベア加算",Q49="ベア加算"),1,"")</f>
        <v/>
      </c>
      <c r="CJ3" s="972"/>
    </row>
    <row r="4" spans="1:88" ht="25.5" customHeight="1">
      <c r="B4" s="1086" t="s">
        <v>2293</v>
      </c>
      <c r="C4" s="1086"/>
      <c r="D4" s="1086"/>
      <c r="E4" s="1086"/>
      <c r="F4" s="1086"/>
      <c r="G4" s="1086" t="s">
        <v>0</v>
      </c>
      <c r="H4" s="1086"/>
      <c r="I4" s="1086"/>
      <c r="J4" s="1087" t="s">
        <v>1</v>
      </c>
      <c r="K4" s="1087"/>
      <c r="L4" s="1087"/>
      <c r="M4" s="1087"/>
      <c r="N4" s="1087"/>
      <c r="O4" s="1087"/>
      <c r="P4" s="1088" t="s">
        <v>2162</v>
      </c>
      <c r="Q4" s="1089"/>
      <c r="R4" s="1089"/>
      <c r="S4" s="1090" t="s">
        <v>2</v>
      </c>
      <c r="T4" s="1091"/>
      <c r="U4" s="1091"/>
      <c r="V4" s="1091"/>
      <c r="W4" s="1091"/>
      <c r="X4" s="1091"/>
      <c r="Y4" s="1087" t="s">
        <v>3</v>
      </c>
      <c r="Z4" s="1087"/>
      <c r="AA4" s="1087"/>
      <c r="AB4" s="1087"/>
      <c r="AC4" s="1087"/>
      <c r="AD4" s="1087"/>
      <c r="AE4" s="1087" t="s">
        <v>2159</v>
      </c>
      <c r="AF4" s="1087"/>
      <c r="AG4" s="1087"/>
      <c r="AH4" s="1087"/>
      <c r="AI4" s="1087" t="s">
        <v>2160</v>
      </c>
      <c r="AJ4" s="1087"/>
      <c r="AK4" s="1087"/>
      <c r="AL4" s="1087"/>
      <c r="AM4" s="1087" t="s">
        <v>2158</v>
      </c>
      <c r="AN4" s="1087"/>
      <c r="AO4" s="1087"/>
      <c r="AP4" s="1087"/>
      <c r="AS4" s="180"/>
      <c r="AT4" s="988" t="s">
        <v>2253</v>
      </c>
      <c r="AU4" s="988" t="s">
        <v>2204</v>
      </c>
      <c r="AV4" s="988" t="s">
        <v>2205</v>
      </c>
      <c r="AW4" s="988" t="s">
        <v>2206</v>
      </c>
      <c r="AX4" s="988" t="s">
        <v>2207</v>
      </c>
      <c r="AY4" s="988" t="s">
        <v>2208</v>
      </c>
      <c r="AZ4" s="988" t="s">
        <v>2252</v>
      </c>
      <c r="BA4" s="181"/>
      <c r="CE4" s="965" t="s">
        <v>2392</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2386</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2389</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2388</v>
      </c>
      <c r="CF7" s="987"/>
      <c r="CG7" s="987"/>
      <c r="CH7" s="987"/>
      <c r="CI7" s="973" t="str">
        <f>IF(AND(AH62=1,AD41=""),1,"")</f>
        <v/>
      </c>
      <c r="CJ7" s="974"/>
    </row>
    <row r="8" spans="1:88" ht="17.25" customHeight="1" thickBot="1">
      <c r="B8" s="1068" t="s">
        <v>2328</v>
      </c>
      <c r="C8" s="1069"/>
      <c r="D8" s="1069"/>
      <c r="E8" s="1069"/>
      <c r="F8" s="1069"/>
      <c r="G8" s="1069"/>
      <c r="H8" s="1069"/>
      <c r="I8" s="1069"/>
      <c r="J8" s="1069"/>
      <c r="K8" s="1069"/>
      <c r="L8" s="1069"/>
      <c r="M8" s="1069"/>
      <c r="N8" s="1069"/>
      <c r="O8" s="1069"/>
      <c r="P8" s="1069"/>
      <c r="Q8" s="1069"/>
      <c r="R8" s="1069"/>
      <c r="S8" s="1070"/>
      <c r="T8" s="1000" t="s">
        <v>14</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2388</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2200</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2388</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2391</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2288</v>
      </c>
      <c r="C13" s="1038"/>
      <c r="D13" s="1038"/>
      <c r="E13" s="1038"/>
      <c r="F13" s="1038"/>
      <c r="G13" s="1038"/>
      <c r="H13" s="1038"/>
      <c r="I13" s="1038"/>
      <c r="J13" s="1038"/>
      <c r="K13" s="1038"/>
      <c r="L13" s="1038"/>
      <c r="M13" s="1038"/>
      <c r="N13" s="1038"/>
      <c r="O13" s="1038"/>
      <c r="P13" s="1038"/>
      <c r="Q13" s="1038"/>
      <c r="R13" s="1038"/>
      <c r="S13" s="1039"/>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2282</v>
      </c>
      <c r="C15" s="1029"/>
      <c r="D15" s="144">
        <v>6</v>
      </c>
      <c r="E15" s="197" t="s">
        <v>2283</v>
      </c>
      <c r="F15" s="144">
        <v>4</v>
      </c>
      <c r="G15" s="197" t="s">
        <v>2284</v>
      </c>
      <c r="H15" s="1030" t="s">
        <v>2285</v>
      </c>
      <c r="I15" s="1030"/>
      <c r="J15" s="1043"/>
      <c r="K15" s="144">
        <v>7</v>
      </c>
      <c r="L15" s="197" t="s">
        <v>2283</v>
      </c>
      <c r="M15" s="144">
        <v>3</v>
      </c>
      <c r="N15" s="197" t="s">
        <v>2284</v>
      </c>
      <c r="O15" s="197" t="s">
        <v>2286</v>
      </c>
      <c r="P15" s="198">
        <f>(K15*12+M15)-(D15*12+F15)+1</f>
        <v>12</v>
      </c>
      <c r="Q15" s="1030" t="s">
        <v>2287</v>
      </c>
      <c r="R15" s="1030"/>
      <c r="S15" s="199" t="s">
        <v>74</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2211</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244</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2295</v>
      </c>
      <c r="C21" s="1012"/>
      <c r="D21" s="1012"/>
      <c r="E21" s="1012"/>
      <c r="F21" s="1013"/>
      <c r="G21" s="1093" t="s">
        <v>245</v>
      </c>
      <c r="H21" s="1094"/>
      <c r="I21" s="1094"/>
      <c r="J21" s="1094"/>
      <c r="K21" s="1094"/>
      <c r="L21" s="1094"/>
      <c r="M21" s="1094"/>
      <c r="N21" s="1094"/>
      <c r="O21" s="1094"/>
      <c r="P21" s="1094"/>
      <c r="Q21" s="1094"/>
      <c r="R21" s="1094"/>
      <c r="S21" s="1094"/>
      <c r="T21" s="1095"/>
      <c r="U21" s="212"/>
      <c r="V21" s="213" t="str">
        <f>IFERROR(IF(L9="ベア加算","✓",""),"")</f>
        <v/>
      </c>
      <c r="W21" s="985" t="s">
        <v>16</v>
      </c>
      <c r="X21" s="985"/>
      <c r="Y21" s="985"/>
      <c r="Z21" s="985"/>
      <c r="AA21" s="1000" t="s">
        <v>14</v>
      </c>
      <c r="AB21" s="1001"/>
      <c r="AC21" s="214"/>
      <c r="AD21" s="1092" t="s">
        <v>16</v>
      </c>
      <c r="AE21" s="1092"/>
      <c r="AF21" s="1092"/>
      <c r="AG21" s="1092"/>
      <c r="AH21" s="1092"/>
      <c r="AI21" s="1000" t="s">
        <v>14</v>
      </c>
      <c r="AJ21" s="1001"/>
      <c r="AK21" s="215"/>
      <c r="AL21" s="1092" t="s">
        <v>16</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17</v>
      </c>
      <c r="X22" s="985"/>
      <c r="Y22" s="1008"/>
      <c r="Z22" s="1009"/>
      <c r="AA22" s="1000"/>
      <c r="AB22" s="1001"/>
      <c r="AC22" s="214"/>
      <c r="AD22" s="985" t="s">
        <v>17</v>
      </c>
      <c r="AE22" s="985"/>
      <c r="AF22" s="985"/>
      <c r="AG22" s="985"/>
      <c r="AH22" s="985"/>
      <c r="AI22" s="1000"/>
      <c r="AJ22" s="1001"/>
      <c r="AK22" s="215"/>
      <c r="AL22" s="985" t="s">
        <v>17</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2219</v>
      </c>
      <c r="C24" s="1012"/>
      <c r="D24" s="1012"/>
      <c r="E24" s="1012"/>
      <c r="F24" s="1013"/>
      <c r="G24" s="1093" t="s">
        <v>246</v>
      </c>
      <c r="H24" s="1094"/>
      <c r="I24" s="1094"/>
      <c r="J24" s="1094"/>
      <c r="K24" s="1094"/>
      <c r="L24" s="1094"/>
      <c r="M24" s="1094"/>
      <c r="N24" s="1094"/>
      <c r="O24" s="1094"/>
      <c r="P24" s="1094"/>
      <c r="Q24" s="1094"/>
      <c r="R24" s="1094"/>
      <c r="S24" s="1094"/>
      <c r="T24" s="1095"/>
      <c r="U24" s="212"/>
      <c r="V24" s="213" t="str">
        <f>IFERROR(IF(OR(B9="処遇加算Ⅰ",B9="処遇加算Ⅱ"),"✓",""),"")</f>
        <v/>
      </c>
      <c r="W24" s="1022" t="s">
        <v>2254</v>
      </c>
      <c r="X24" s="1023"/>
      <c r="Y24" s="1023"/>
      <c r="Z24" s="1024"/>
      <c r="AA24" s="1000" t="s">
        <v>14</v>
      </c>
      <c r="AB24" s="1001"/>
      <c r="AC24" s="214"/>
      <c r="AD24" s="1010" t="s">
        <v>16</v>
      </c>
      <c r="AE24" s="1010"/>
      <c r="AF24" s="1010"/>
      <c r="AG24" s="1010"/>
      <c r="AH24" s="1010"/>
      <c r="AI24" s="1000" t="s">
        <v>14</v>
      </c>
      <c r="AJ24" s="1001"/>
      <c r="AK24" s="214"/>
      <c r="AL24" s="1010" t="s">
        <v>16</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21</v>
      </c>
      <c r="X25" s="1023"/>
      <c r="Y25" s="1023"/>
      <c r="Z25" s="1024"/>
      <c r="AA25" s="1000"/>
      <c r="AB25" s="1001"/>
      <c r="AC25" s="214"/>
      <c r="AD25" s="986" t="s">
        <v>19</v>
      </c>
      <c r="AE25" s="986"/>
      <c r="AF25" s="986"/>
      <c r="AG25" s="986"/>
      <c r="AH25" s="986"/>
      <c r="AI25" s="1000"/>
      <c r="AJ25" s="1001"/>
      <c r="AK25" s="215"/>
      <c r="AL25" s="986" t="s">
        <v>19</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2255</v>
      </c>
      <c r="X26" s="1023"/>
      <c r="Y26" s="1023"/>
      <c r="Z26" s="1024"/>
      <c r="AA26" s="1000"/>
      <c r="AB26" s="1001"/>
      <c r="AC26" s="214"/>
      <c r="AD26" s="1010" t="s">
        <v>17</v>
      </c>
      <c r="AE26" s="1010"/>
      <c r="AF26" s="1010"/>
      <c r="AG26" s="1010"/>
      <c r="AH26" s="1010"/>
      <c r="AI26" s="1000"/>
      <c r="AJ26" s="1001"/>
      <c r="AK26" s="215"/>
      <c r="AL26" s="1010" t="s">
        <v>17</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2220</v>
      </c>
      <c r="C28" s="1012"/>
      <c r="D28" s="1012"/>
      <c r="E28" s="1012"/>
      <c r="F28" s="1013"/>
      <c r="G28" s="1094" t="s">
        <v>2217</v>
      </c>
      <c r="H28" s="1094"/>
      <c r="I28" s="1094"/>
      <c r="J28" s="1094"/>
      <c r="K28" s="1094"/>
      <c r="L28" s="1094"/>
      <c r="M28" s="1094"/>
      <c r="N28" s="1094"/>
      <c r="O28" s="1094"/>
      <c r="P28" s="1094"/>
      <c r="Q28" s="1094"/>
      <c r="R28" s="1094"/>
      <c r="S28" s="1094"/>
      <c r="T28" s="1095"/>
      <c r="U28" s="212"/>
      <c r="V28" s="213" t="str">
        <f>IFERROR(IF(OR(B9="処遇加算Ⅰ",B9="処遇加算Ⅱ"),"✓",""),"")</f>
        <v/>
      </c>
      <c r="W28" s="1022" t="s">
        <v>2254</v>
      </c>
      <c r="X28" s="1023"/>
      <c r="Y28" s="1023"/>
      <c r="Z28" s="1024"/>
      <c r="AA28" s="1000" t="s">
        <v>14</v>
      </c>
      <c r="AB28" s="1001"/>
      <c r="AC28" s="214"/>
      <c r="AD28" s="1010" t="s">
        <v>16</v>
      </c>
      <c r="AE28" s="1010"/>
      <c r="AF28" s="1010"/>
      <c r="AG28" s="1010"/>
      <c r="AH28" s="1010"/>
      <c r="AI28" s="1000" t="s">
        <v>14</v>
      </c>
      <c r="AJ28" s="1001"/>
      <c r="AK28" s="214"/>
      <c r="AL28" s="1010" t="s">
        <v>16</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21</v>
      </c>
      <c r="X29" s="1023"/>
      <c r="Y29" s="1023"/>
      <c r="Z29" s="1024"/>
      <c r="AA29" s="1000"/>
      <c r="AB29" s="1001"/>
      <c r="AC29" s="214"/>
      <c r="AD29" s="986" t="s">
        <v>19</v>
      </c>
      <c r="AE29" s="986"/>
      <c r="AF29" s="986"/>
      <c r="AG29" s="986"/>
      <c r="AH29" s="986"/>
      <c r="AI29" s="1000"/>
      <c r="AJ29" s="1001"/>
      <c r="AK29" s="215"/>
      <c r="AL29" s="986" t="s">
        <v>19</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2255</v>
      </c>
      <c r="X30" s="1023"/>
      <c r="Y30" s="1023"/>
      <c r="Z30" s="1024"/>
      <c r="AA30" s="1000"/>
      <c r="AB30" s="1001"/>
      <c r="AC30" s="214"/>
      <c r="AD30" s="1010" t="s">
        <v>17</v>
      </c>
      <c r="AE30" s="1010"/>
      <c r="AF30" s="1010"/>
      <c r="AG30" s="1010"/>
      <c r="AH30" s="1010"/>
      <c r="AI30" s="1000"/>
      <c r="AJ30" s="1001"/>
      <c r="AK30" s="215"/>
      <c r="AL30" s="1010" t="s">
        <v>17</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2221</v>
      </c>
      <c r="C32" s="1020"/>
      <c r="D32" s="1020"/>
      <c r="E32" s="1020"/>
      <c r="F32" s="1020"/>
      <c r="G32" s="1021" t="s">
        <v>2218</v>
      </c>
      <c r="H32" s="1021"/>
      <c r="I32" s="1021"/>
      <c r="J32" s="1021"/>
      <c r="K32" s="1021"/>
      <c r="L32" s="1021"/>
      <c r="M32" s="1021"/>
      <c r="N32" s="1021"/>
      <c r="O32" s="1021"/>
      <c r="P32" s="1021"/>
      <c r="Q32" s="1021"/>
      <c r="R32" s="1021"/>
      <c r="S32" s="1021"/>
      <c r="T32" s="1021"/>
      <c r="U32" s="212"/>
      <c r="V32" s="213" t="str">
        <f>IFERROR(IF(B9="処遇加算Ⅰ","✓",""),"")</f>
        <v/>
      </c>
      <c r="W32" s="1007" t="s">
        <v>16</v>
      </c>
      <c r="X32" s="1008"/>
      <c r="Y32" s="1008"/>
      <c r="Z32" s="1009"/>
      <c r="AA32" s="1002" t="s">
        <v>14</v>
      </c>
      <c r="AB32" s="1001"/>
      <c r="AC32" s="214"/>
      <c r="AD32" s="1010" t="s">
        <v>16</v>
      </c>
      <c r="AE32" s="1010"/>
      <c r="AF32" s="1010"/>
      <c r="AG32" s="1010"/>
      <c r="AH32" s="1010"/>
      <c r="AI32" s="1002" t="s">
        <v>14</v>
      </c>
      <c r="AJ32" s="1001"/>
      <c r="AK32" s="214"/>
      <c r="AL32" s="1010" t="s">
        <v>16</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17</v>
      </c>
      <c r="X33" s="1008"/>
      <c r="Y33" s="1008"/>
      <c r="Z33" s="1009"/>
      <c r="AA33" s="1002"/>
      <c r="AB33" s="1001"/>
      <c r="AC33" s="214"/>
      <c r="AD33" s="1141" t="s">
        <v>19</v>
      </c>
      <c r="AE33" s="1141"/>
      <c r="AF33" s="1141"/>
      <c r="AG33" s="1141"/>
      <c r="AH33" s="1141"/>
      <c r="AI33" s="1002"/>
      <c r="AJ33" s="1001"/>
      <c r="AK33" s="221"/>
      <c r="AL33" s="986" t="s">
        <v>19</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17</v>
      </c>
      <c r="AE34" s="985"/>
      <c r="AF34" s="985"/>
      <c r="AG34" s="985"/>
      <c r="AH34" s="985"/>
      <c r="AI34" s="1002"/>
      <c r="AJ34" s="1001"/>
      <c r="AK34" s="214"/>
      <c r="AL34" s="985" t="s">
        <v>17</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2222</v>
      </c>
      <c r="C36" s="1020"/>
      <c r="D36" s="1020"/>
      <c r="E36" s="1020"/>
      <c r="F36" s="1020"/>
      <c r="G36" s="1140" t="s">
        <v>2263</v>
      </c>
      <c r="H36" s="1140"/>
      <c r="I36" s="1140"/>
      <c r="J36" s="1140"/>
      <c r="K36" s="1140"/>
      <c r="L36" s="1140"/>
      <c r="M36" s="1140"/>
      <c r="N36" s="1140"/>
      <c r="O36" s="1140"/>
      <c r="P36" s="1140"/>
      <c r="Q36" s="1140"/>
      <c r="R36" s="1140"/>
      <c r="S36" s="1140"/>
      <c r="T36" s="1140"/>
      <c r="U36" s="212"/>
      <c r="V36" s="213" t="str">
        <f>IFERROR(IF(OR(G9="特定加算Ⅰ",G9="特定加算Ⅱ"),"✓",""),"")</f>
        <v/>
      </c>
      <c r="W36" s="1007" t="s">
        <v>16</v>
      </c>
      <c r="X36" s="1008"/>
      <c r="Y36" s="1008"/>
      <c r="Z36" s="1009"/>
      <c r="AA36" s="1000" t="s">
        <v>14</v>
      </c>
      <c r="AB36" s="1001"/>
      <c r="AC36" s="214"/>
      <c r="AD36" s="985" t="s">
        <v>16</v>
      </c>
      <c r="AE36" s="985"/>
      <c r="AF36" s="985"/>
      <c r="AG36" s="985"/>
      <c r="AH36" s="985"/>
      <c r="AI36" s="1000" t="s">
        <v>14</v>
      </c>
      <c r="AJ36" s="1001"/>
      <c r="AK36" s="214"/>
      <c r="AL36" s="985" t="s">
        <v>16</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17</v>
      </c>
      <c r="X37" s="1008"/>
      <c r="Y37" s="1008"/>
      <c r="Z37" s="1009"/>
      <c r="AA37" s="1000"/>
      <c r="AB37" s="1001"/>
      <c r="AC37" s="1156" t="s">
        <v>2369</v>
      </c>
      <c r="AD37" s="1157"/>
      <c r="AE37" s="1157"/>
      <c r="AF37" s="1157"/>
      <c r="AG37" s="1158"/>
      <c r="AH37" s="1159"/>
      <c r="AI37" s="1000"/>
      <c r="AJ37" s="1001"/>
      <c r="AK37" s="1156" t="s">
        <v>2369</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17</v>
      </c>
      <c r="AE38" s="985"/>
      <c r="AF38" s="985"/>
      <c r="AG38" s="985"/>
      <c r="AH38" s="985"/>
      <c r="AI38" s="1000"/>
      <c r="AJ38" s="1001"/>
      <c r="AK38" s="214"/>
      <c r="AL38" s="985" t="s">
        <v>17</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2223</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16</v>
      </c>
      <c r="X40" s="1008"/>
      <c r="Y40" s="1008"/>
      <c r="Z40" s="1009"/>
      <c r="AA40" s="1000" t="s">
        <v>14</v>
      </c>
      <c r="AB40" s="1001"/>
      <c r="AC40" s="214"/>
      <c r="AD40" s="985" t="s">
        <v>16</v>
      </c>
      <c r="AE40" s="985"/>
      <c r="AF40" s="985"/>
      <c r="AG40" s="985"/>
      <c r="AH40" s="985"/>
      <c r="AI40" s="1000" t="s">
        <v>14</v>
      </c>
      <c r="AJ40" s="1001"/>
      <c r="AK40" s="214"/>
      <c r="AL40" s="985" t="s">
        <v>16</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17</v>
      </c>
      <c r="X41" s="1008"/>
      <c r="Y41" s="1008"/>
      <c r="Z41" s="1009"/>
      <c r="AA41" s="1000"/>
      <c r="AB41" s="1001"/>
      <c r="AC41" s="225" t="s">
        <v>90</v>
      </c>
      <c r="AD41" s="1025"/>
      <c r="AE41" s="1026"/>
      <c r="AF41" s="1026"/>
      <c r="AG41" s="1026"/>
      <c r="AH41" s="1027"/>
      <c r="AI41" s="1000"/>
      <c r="AJ41" s="1001"/>
      <c r="AK41" s="225" t="s">
        <v>90</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17</v>
      </c>
      <c r="AE42" s="985"/>
      <c r="AF42" s="985"/>
      <c r="AG42" s="985"/>
      <c r="AH42" s="985"/>
      <c r="AI42" s="204"/>
      <c r="AJ42" s="204"/>
      <c r="AK42" s="227"/>
      <c r="AL42" s="985" t="s">
        <v>17</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2224</v>
      </c>
      <c r="C44" s="1020"/>
      <c r="D44" s="1020"/>
      <c r="E44" s="1020"/>
      <c r="F44" s="1020"/>
      <c r="G44" s="1021" t="s">
        <v>2161</v>
      </c>
      <c r="H44" s="1021"/>
      <c r="I44" s="1021"/>
      <c r="J44" s="1021"/>
      <c r="K44" s="1021"/>
      <c r="L44" s="1021"/>
      <c r="M44" s="1021"/>
      <c r="N44" s="1021"/>
      <c r="O44" s="1021"/>
      <c r="P44" s="1021"/>
      <c r="Q44" s="1021"/>
      <c r="R44" s="1021"/>
      <c r="S44" s="1021"/>
      <c r="T44" s="1021"/>
      <c r="U44" s="212"/>
      <c r="V44" s="213" t="str">
        <f>IFERROR(IF(OR(G9="特定加算Ⅰ",G9="特定加算Ⅱ"),"✓",""),"")</f>
        <v/>
      </c>
      <c r="W44" s="1007" t="s">
        <v>16</v>
      </c>
      <c r="X44" s="1008"/>
      <c r="Y44" s="1008"/>
      <c r="Z44" s="1009"/>
      <c r="AA44" s="1000" t="s">
        <v>14</v>
      </c>
      <c r="AB44" s="1001"/>
      <c r="AC44" s="214"/>
      <c r="AD44" s="985" t="s">
        <v>16</v>
      </c>
      <c r="AE44" s="985"/>
      <c r="AF44" s="985"/>
      <c r="AG44" s="985"/>
      <c r="AH44" s="985"/>
      <c r="AI44" s="1000" t="s">
        <v>14</v>
      </c>
      <c r="AJ44" s="1001"/>
      <c r="AK44" s="214"/>
      <c r="AL44" s="985" t="s">
        <v>16</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17</v>
      </c>
      <c r="X45" s="1008"/>
      <c r="Y45" s="1008"/>
      <c r="Z45" s="1009"/>
      <c r="AA45" s="1000"/>
      <c r="AB45" s="1001"/>
      <c r="AC45" s="214"/>
      <c r="AD45" s="985" t="s">
        <v>17</v>
      </c>
      <c r="AE45" s="985"/>
      <c r="AF45" s="985"/>
      <c r="AG45" s="985"/>
      <c r="AH45" s="985"/>
      <c r="AI45" s="1000"/>
      <c r="AJ45" s="1001"/>
      <c r="AK45" s="214"/>
      <c r="AL45" s="985" t="s">
        <v>17</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2317</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14</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IFERROR(IF(AND(OR(AP61=1,AP61=2),AP62=1,AP63=1),"特定加算Ⅰ",IF(AND(OR(AP61=1,AP61=2),AP62=2,AP63=1),"特定加算Ⅱ",IF(OR(AP61=3,AP62=2,AP63=2),"特定加算なし",""))),"")</f>
        <v>特定加算なし</v>
      </c>
      <c r="AX48" s="994"/>
      <c r="AY48" s="994"/>
      <c r="AZ48" s="994"/>
      <c r="BA48" s="994" t="str">
        <f>IFERROR(IF(OR(L9="ベア加算",AP57=1),"ベア加算",IF(AP57=2,"ベア加算なし","")),"")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2163</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IFERROR(IF(G9="","",IF(AND(OR(AH61=1,AH61=2),AH62=1,AH63=1),"特定加算Ⅰ",IF(AND(OR(AH61=1,AH61=2),AH62=2,AH63=1),"特定加算Ⅱ",IF(OR(AH61=3,AH62=2,AH63=2),"特定加算なし","")))),"")</f>
        <v/>
      </c>
      <c r="M49" s="1005"/>
      <c r="N49" s="1005"/>
      <c r="O49" s="1005"/>
      <c r="P49" s="1047"/>
      <c r="Q49" s="1048" t="str">
        <f>IFERROR(IF(OR(L9="ベア加算",AND(L9="ベア加算なし",AH57=1)),"ベア加算",IF(AH57=2,"ベア加算なし","")),"")</f>
        <v/>
      </c>
      <c r="R49" s="1005"/>
      <c r="S49" s="1005"/>
      <c r="T49" s="1005"/>
      <c r="U49" s="1047"/>
      <c r="V49" s="1049" t="s">
        <v>12</v>
      </c>
      <c r="W49" s="1050"/>
      <c r="X49" s="1050"/>
      <c r="Y49" s="1050"/>
      <c r="Z49" s="1050"/>
      <c r="AA49" s="1002"/>
      <c r="AB49" s="1002"/>
      <c r="AC49" s="1145" t="str">
        <f>IFERROR(VLOOKUP(BE48,【参考】数式用2!E6:F23,2,FALSE),"")</f>
        <v/>
      </c>
      <c r="AD49" s="1146"/>
      <c r="AE49" s="1146"/>
      <c r="AF49" s="1146"/>
      <c r="AG49" s="1146"/>
      <c r="AH49" s="1147"/>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055" t="s">
        <v>2164</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2195</v>
      </c>
      <c r="AT50" s="993"/>
      <c r="AU50" s="993"/>
      <c r="AV50" s="993"/>
      <c r="AW50" s="993" t="s">
        <v>2196</v>
      </c>
      <c r="AX50" s="993"/>
      <c r="AY50" s="993"/>
      <c r="AZ50" s="993"/>
      <c r="BA50" s="993" t="s">
        <v>15</v>
      </c>
      <c r="BB50" s="993"/>
      <c r="BC50" s="993"/>
      <c r="BD50" s="993"/>
      <c r="BE50" s="993" t="s">
        <v>2197</v>
      </c>
      <c r="BF50" s="993"/>
      <c r="BG50" s="993"/>
      <c r="BH50" s="993"/>
      <c r="BI50" s="993" t="s">
        <v>2200</v>
      </c>
      <c r="BJ50" s="993"/>
      <c r="BK50" s="993"/>
      <c r="BL50" s="993"/>
      <c r="BM50" s="232"/>
      <c r="BN50" s="993" t="s">
        <v>2199</v>
      </c>
      <c r="BO50" s="993"/>
      <c r="BP50" s="993"/>
      <c r="BQ50" s="993"/>
      <c r="BR50" s="993"/>
      <c r="BS50" s="993"/>
      <c r="BT50" s="232"/>
      <c r="BV50" s="957" t="s">
        <v>2202</v>
      </c>
      <c r="BW50" s="958"/>
      <c r="BX50" s="958"/>
      <c r="BY50" s="958"/>
      <c r="BZ50" s="958"/>
      <c r="CA50" s="959"/>
      <c r="CD50" s="233"/>
    </row>
    <row r="51" spans="2:82" ht="17.25" customHeight="1">
      <c r="B51" s="1058" t="s">
        <v>2294</v>
      </c>
      <c r="C51" s="1059"/>
      <c r="D51" s="1059"/>
      <c r="E51" s="1059"/>
      <c r="F51" s="1060"/>
      <c r="G51" s="989" t="str">
        <f>IFERROR(ROUNDDOWN(ROUND(AM5*G50,0)*P5,0)*H53,"")</f>
        <v/>
      </c>
      <c r="H51" s="989"/>
      <c r="I51" s="989"/>
      <c r="J51" s="989"/>
      <c r="K51" s="145" t="s">
        <v>2289</v>
      </c>
      <c r="L51" s="1044" t="str">
        <f>IFERROR(ROUNDDOWN(ROUND(AM5*L50,0)*P5,0)*H53,"")</f>
        <v/>
      </c>
      <c r="M51" s="989"/>
      <c r="N51" s="989"/>
      <c r="O51" s="989"/>
      <c r="P51" s="145" t="s">
        <v>2289</v>
      </c>
      <c r="Q51" s="1044" t="str">
        <f>IFERROR(ROUNDDOWN(ROUND(AM5*Q50,0)*P5,0)*H53,"")</f>
        <v/>
      </c>
      <c r="R51" s="989"/>
      <c r="S51" s="989"/>
      <c r="T51" s="989"/>
      <c r="U51" s="146" t="s">
        <v>2289</v>
      </c>
      <c r="V51" s="1045">
        <f>IFERROR(SUM(G51,L51,Q51),"")</f>
        <v>0</v>
      </c>
      <c r="W51" s="1046"/>
      <c r="X51" s="1046"/>
      <c r="Y51" s="1046"/>
      <c r="Z51" s="147" t="s">
        <v>2289</v>
      </c>
      <c r="AB51" s="148"/>
      <c r="AC51" s="1044" t="str">
        <f>IFERROR(ROUNDDOWN(ROUND(AM5*AC50,0)*P5,0)*AD53,"")</f>
        <v/>
      </c>
      <c r="AD51" s="989"/>
      <c r="AE51" s="989"/>
      <c r="AF51" s="989"/>
      <c r="AG51" s="989"/>
      <c r="AH51" s="146" t="s">
        <v>2289</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1118" t="s">
        <v>244</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2420</v>
      </c>
      <c r="AT56" s="1142"/>
      <c r="AU56" s="1142"/>
      <c r="AV56" s="1142"/>
      <c r="AW56" s="1142" t="s">
        <v>2419</v>
      </c>
      <c r="AX56" s="1142"/>
      <c r="AY56" s="1142"/>
      <c r="AZ56" s="1142"/>
    </row>
    <row r="57" spans="2:82" ht="15.95" customHeight="1">
      <c r="U57" s="993" t="s">
        <v>2203</v>
      </c>
      <c r="V57" s="993"/>
      <c r="W57" s="993"/>
      <c r="X57" s="993"/>
      <c r="Y57" s="993"/>
      <c r="Z57" s="243" t="str">
        <f>IF(AND(B9&lt;&gt;"処遇加算なし",F15=4),IF(V21="✓",1,IF(V22="✓",2,"")),"")</f>
        <v/>
      </c>
      <c r="AA57" s="236"/>
      <c r="AB57" s="240"/>
      <c r="AC57" s="993" t="s">
        <v>2203</v>
      </c>
      <c r="AD57" s="993"/>
      <c r="AE57" s="993"/>
      <c r="AF57" s="993"/>
      <c r="AG57" s="993"/>
      <c r="AH57" s="167">
        <f>IF(AND(F15&lt;&gt;4,F15&lt;&gt;5),0,IF(AT8="○",1,0))</f>
        <v>0</v>
      </c>
      <c r="AI57" s="240"/>
      <c r="AJ57" s="240"/>
      <c r="AK57" s="993" t="s">
        <v>2203</v>
      </c>
      <c r="AL57" s="993"/>
      <c r="AM57" s="993"/>
      <c r="AN57" s="993"/>
      <c r="AO57" s="993"/>
      <c r="AP57" s="167">
        <f>IF(AT8="○",1,0)</f>
        <v>0</v>
      </c>
      <c r="AQ57" s="236"/>
      <c r="AR57" s="236"/>
      <c r="AS57" s="1155"/>
      <c r="AT57" s="1155"/>
      <c r="AU57" s="1155"/>
      <c r="AV57" s="1155"/>
      <c r="AW57" s="1148"/>
      <c r="AX57" s="1148"/>
      <c r="AY57" s="1148"/>
      <c r="AZ57" s="1148"/>
      <c r="BD57" s="242"/>
      <c r="BF57" s="242"/>
      <c r="BG57" s="242"/>
      <c r="BH57" s="242"/>
      <c r="BI57" s="242"/>
      <c r="BJ57" s="242"/>
      <c r="BK57" s="242"/>
      <c r="BL57" s="242"/>
      <c r="BM57" s="242"/>
      <c r="BN57" s="242"/>
      <c r="BO57" s="242"/>
      <c r="BP57" s="242"/>
      <c r="BQ57" s="242"/>
      <c r="BR57" s="242"/>
      <c r="BS57" s="242"/>
      <c r="BT57" s="242"/>
      <c r="BV57" s="244"/>
    </row>
    <row r="58" spans="2:82" ht="15.95" customHeight="1">
      <c r="U58" s="1117" t="s">
        <v>2204</v>
      </c>
      <c r="V58" s="1117"/>
      <c r="W58" s="1117"/>
      <c r="X58" s="1117"/>
      <c r="Y58" s="1117"/>
      <c r="Z58" s="243" t="str">
        <f>IF(AND(B9&lt;&gt;"処遇加算なし",F15=4),IF(V24="✓",1,IF(V25="✓",2,IF(V26="✓",3,""))),"")</f>
        <v/>
      </c>
      <c r="AA58" s="236"/>
      <c r="AB58" s="240"/>
      <c r="AC58" s="1117" t="s">
        <v>2204</v>
      </c>
      <c r="AD58" s="1117"/>
      <c r="AE58" s="1117"/>
      <c r="AF58" s="1117"/>
      <c r="AG58" s="1117"/>
      <c r="AH58" s="167">
        <f>IF(AND(F15&lt;&gt;4,F15&lt;&gt;5),0,IF(AU8="○",1,3))</f>
        <v>3</v>
      </c>
      <c r="AI58" s="240"/>
      <c r="AJ58" s="240"/>
      <c r="AK58" s="1117" t="s">
        <v>2204</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D58" s="242"/>
      <c r="BF58" s="242"/>
      <c r="BG58" s="242"/>
      <c r="BH58" s="242"/>
      <c r="BI58" s="242"/>
      <c r="BJ58" s="242"/>
      <c r="BK58" s="242"/>
      <c r="BL58" s="242"/>
      <c r="BM58" s="242"/>
      <c r="BN58" s="242"/>
      <c r="BO58" s="242"/>
      <c r="BP58" s="242"/>
      <c r="BQ58" s="242"/>
      <c r="BR58" s="242"/>
      <c r="BS58" s="242"/>
      <c r="BT58" s="242"/>
      <c r="BV58" s="244"/>
    </row>
    <row r="59" spans="2:82" ht="15.95" customHeight="1">
      <c r="U59" s="1117" t="s">
        <v>2205</v>
      </c>
      <c r="V59" s="1117"/>
      <c r="W59" s="1117"/>
      <c r="X59" s="1117"/>
      <c r="Y59" s="1117"/>
      <c r="Z59" s="243" t="str">
        <f>IF(AND(B9&lt;&gt;"処遇加算なし",F15=4),IF(V28="✓",1,IF(V29="✓",2,IF(V30="✓",3,""))),"")</f>
        <v/>
      </c>
      <c r="AA59" s="236"/>
      <c r="AB59" s="240"/>
      <c r="AC59" s="1117" t="s">
        <v>2205</v>
      </c>
      <c r="AD59" s="1117"/>
      <c r="AE59" s="1117"/>
      <c r="AF59" s="1117"/>
      <c r="AG59" s="1117"/>
      <c r="AH59" s="167">
        <f>IF(AND(F15&lt;&gt;4,F15&lt;&gt;5),0,IF(AV8="○",1,3))</f>
        <v>3</v>
      </c>
      <c r="AI59" s="240"/>
      <c r="AJ59" s="240"/>
      <c r="AK59" s="1117" t="s">
        <v>2205</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D59" s="242"/>
      <c r="BF59" s="242"/>
      <c r="BG59" s="242"/>
      <c r="BH59" s="242"/>
      <c r="BI59" s="242"/>
      <c r="BJ59" s="242"/>
      <c r="BK59" s="242"/>
      <c r="BL59" s="242"/>
      <c r="BM59" s="242"/>
      <c r="BN59" s="242"/>
      <c r="BO59" s="242"/>
      <c r="BP59" s="242"/>
      <c r="BQ59" s="242"/>
      <c r="BR59" s="242"/>
      <c r="BS59" s="242"/>
      <c r="BT59" s="242"/>
      <c r="BV59" s="244"/>
    </row>
    <row r="60" spans="2:82" ht="15.95" customHeight="1">
      <c r="U60" s="1117" t="s">
        <v>2206</v>
      </c>
      <c r="V60" s="1117"/>
      <c r="W60" s="1117"/>
      <c r="X60" s="1117"/>
      <c r="Y60" s="1117"/>
      <c r="Z60" s="243" t="str">
        <f>IF(AND(B9&lt;&gt;"処遇加算なし",F15=4),IF(V32="✓",1,IF(V33="✓",2,"")),"")</f>
        <v/>
      </c>
      <c r="AA60" s="236"/>
      <c r="AB60" s="240"/>
      <c r="AC60" s="1117" t="s">
        <v>2206</v>
      </c>
      <c r="AD60" s="1117"/>
      <c r="AE60" s="1117"/>
      <c r="AF60" s="1117"/>
      <c r="AG60" s="1117"/>
      <c r="AH60" s="167">
        <f>IF(AND(F15&lt;&gt;4,F15&lt;&gt;5),0,IF(AW8="○",1,3))</f>
        <v>3</v>
      </c>
      <c r="AI60" s="240"/>
      <c r="AJ60" s="240"/>
      <c r="AK60" s="1117" t="s">
        <v>2206</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D60" s="242"/>
      <c r="BF60" s="242"/>
      <c r="BG60" s="242"/>
      <c r="BH60" s="242"/>
      <c r="BI60" s="242"/>
      <c r="BJ60" s="242"/>
      <c r="BK60" s="242"/>
      <c r="BL60" s="242"/>
      <c r="BM60" s="242"/>
      <c r="BN60" s="242"/>
      <c r="BO60" s="242"/>
      <c r="BP60" s="242"/>
      <c r="BQ60" s="242"/>
      <c r="BR60" s="242"/>
      <c r="BS60" s="242"/>
      <c r="BT60" s="242"/>
      <c r="BV60" s="244"/>
    </row>
    <row r="61" spans="2:82" ht="15.95" customHeight="1">
      <c r="U61" s="1117" t="s">
        <v>2207</v>
      </c>
      <c r="V61" s="1117"/>
      <c r="W61" s="1117"/>
      <c r="X61" s="1117"/>
      <c r="Y61" s="1117"/>
      <c r="Z61" s="243" t="str">
        <f>IF(AND(B9&lt;&gt;"処遇加算なし",F15=4),IF(V36="✓",1,IF(V37="✓",2,"")),"")</f>
        <v/>
      </c>
      <c r="AA61" s="236"/>
      <c r="AB61" s="240"/>
      <c r="AC61" s="1117" t="s">
        <v>2207</v>
      </c>
      <c r="AD61" s="1117"/>
      <c r="AE61" s="1117"/>
      <c r="AF61" s="1117"/>
      <c r="AG61" s="1117"/>
      <c r="AH61" s="167">
        <f>IF(AND(F15&lt;&gt;4,F15&lt;&gt;5),0,IF(AX8="○",1,2))</f>
        <v>2</v>
      </c>
      <c r="AI61" s="240"/>
      <c r="AJ61" s="240"/>
      <c r="AK61" s="1117" t="s">
        <v>2207</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D61" s="242"/>
      <c r="BF61" s="242"/>
      <c r="BG61" s="242"/>
      <c r="BH61" s="242"/>
      <c r="BI61" s="242"/>
      <c r="BJ61" s="242"/>
      <c r="BK61" s="242"/>
      <c r="BL61" s="242"/>
      <c r="BM61" s="242"/>
      <c r="BN61" s="242"/>
      <c r="BO61" s="242"/>
      <c r="BP61" s="242"/>
      <c r="BQ61" s="242"/>
      <c r="BR61" s="242"/>
      <c r="BS61" s="242"/>
      <c r="BT61" s="242"/>
      <c r="BV61" s="244"/>
    </row>
    <row r="62" spans="2:82" ht="15.95" customHeight="1">
      <c r="U62" s="1117" t="s">
        <v>2208</v>
      </c>
      <c r="V62" s="1117"/>
      <c r="W62" s="1117"/>
      <c r="X62" s="1117"/>
      <c r="Y62" s="1117"/>
      <c r="Z62" s="243" t="str">
        <f>IF(AND(B9&lt;&gt;"処遇加算なし",F15=4),IF(V40="✓",1,IF(V41="✓",2,"")),"")</f>
        <v/>
      </c>
      <c r="AA62" s="236"/>
      <c r="AB62" s="240"/>
      <c r="AC62" s="1117" t="s">
        <v>2208</v>
      </c>
      <c r="AD62" s="1117"/>
      <c r="AE62" s="1117"/>
      <c r="AF62" s="1117"/>
      <c r="AG62" s="1117"/>
      <c r="AH62" s="167">
        <f>IF(AND(F15&lt;&gt;4,F15&lt;&gt;5),0,IF(AY8="○",1,2))</f>
        <v>2</v>
      </c>
      <c r="AI62" s="240"/>
      <c r="AJ62" s="240"/>
      <c r="AK62" s="1117" t="s">
        <v>2208</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D62" s="242"/>
      <c r="BF62" s="242"/>
      <c r="BG62" s="242"/>
      <c r="BH62" s="242"/>
      <c r="BI62" s="242"/>
      <c r="BJ62" s="242"/>
      <c r="BK62" s="242"/>
      <c r="BL62" s="242"/>
      <c r="BM62" s="242"/>
      <c r="BN62" s="242"/>
      <c r="BO62" s="242"/>
      <c r="BP62" s="242"/>
      <c r="BQ62" s="242"/>
      <c r="BR62" s="242"/>
      <c r="BS62" s="242"/>
      <c r="BT62" s="242"/>
      <c r="BV62" s="244"/>
    </row>
    <row r="63" spans="2:82" ht="15.95" customHeight="1">
      <c r="U63" s="993" t="s">
        <v>2209</v>
      </c>
      <c r="V63" s="993"/>
      <c r="W63" s="993"/>
      <c r="X63" s="993"/>
      <c r="Y63" s="993"/>
      <c r="Z63" s="243" t="str">
        <f>IF(AND(B9&lt;&gt;"処遇加算なし",F15=4),IF(V44="✓",1,IF(V45="✓",2,"")),"")</f>
        <v/>
      </c>
      <c r="AA63" s="236"/>
      <c r="AB63" s="240"/>
      <c r="AC63" s="993" t="s">
        <v>2209</v>
      </c>
      <c r="AD63" s="993"/>
      <c r="AE63" s="993"/>
      <c r="AF63" s="993"/>
      <c r="AG63" s="993"/>
      <c r="AH63" s="167">
        <f>IF(AND(F15&lt;&gt;4,F15&lt;&gt;5),0,IF(AZ8="○",1,2))</f>
        <v>2</v>
      </c>
      <c r="AI63" s="240"/>
      <c r="AJ63" s="240"/>
      <c r="AK63" s="993" t="s">
        <v>2209</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2024-03-11T13:42:51Z</cp:lastPrinted>
  <dcterms:created xsi:type="dcterms:W3CDTF">2015-06-05T18:19:34Z</dcterms:created>
  <dcterms:modified xsi:type="dcterms:W3CDTF">2024-04-04T09:37:56Z</dcterms:modified>
</cp:coreProperties>
</file>